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filterPrivacy="1" defaultThemeVersion="124226"/>
  <xr:revisionPtr revIDLastSave="27" documentId="13_ncr:1_{5EB354EE-56D6-432B-9FF7-A49498EF236C}" xr6:coauthVersionLast="47" xr6:coauthVersionMax="47" xr10:uidLastSave="{4BB4A6A3-7432-47F6-B3CA-FBAA6C4C1818}"/>
  <workbookProtection workbookAlgorithmName="SHA-512" workbookHashValue="Y1+anRh/hJQ3N7VhdQ+DiP+Afjr87jUZ9FuH4+cO/nZ8Z34YfXnO3VKmrXX6/PzYQtVQnWdn6C0qz0chh5mnOQ==" workbookSaltValue="Djv0si7VwbTzxdrDrbL7Cw==" workbookSpinCount="100000" lockStructure="1"/>
  <bookViews>
    <workbookView xWindow="-120" yWindow="-120" windowWidth="29040" windowHeight="15840" tabRatio="767" xr2:uid="{00000000-000D-0000-FFFF-FFFF00000000}"/>
  </bookViews>
  <sheets>
    <sheet name="Dokument Owner &amp; History" sheetId="2" r:id="rId1"/>
    <sheet name="Assessment Tool ISO 27001" sheetId="14" r:id="rId2"/>
    <sheet name="Graphics All Area" sheetId="17" r:id="rId3"/>
    <sheet name="Assistance Information" sheetId="15" r:id="rId4"/>
    <sheet name="Values VSE and BFE" sheetId="16" state="hidden" r:id="rId5"/>
    <sheet name="D%$&amp;01_DevSheet" sheetId="3" state="veryHidden" r:id="rId6"/>
  </sheets>
  <externalReferences>
    <externalReference r:id="rId7"/>
  </externalReferences>
  <definedNames>
    <definedName name="AssetType" localSheetId="2">#REF!</definedName>
    <definedName name="AssetType">#REF!</definedName>
    <definedName name="C_" localSheetId="2">#REF!</definedName>
    <definedName name="C_">#REF!</definedName>
    <definedName name="Ja_Nein" localSheetId="2">#REF!</definedName>
    <definedName name="Ja_Nein">#REF!</definedName>
    <definedName name="Klassifikation">'[1]Änderungen Vorlage'!$B$30:$B$33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5" i="14" l="1"/>
  <c r="Q3" i="14"/>
  <c r="T5" i="14"/>
  <c r="T3" i="14"/>
  <c r="E5" i="17"/>
  <c r="T2" i="14"/>
  <c r="A14" i="17"/>
  <c r="A13" i="17"/>
  <c r="A12" i="17"/>
  <c r="A11" i="17"/>
  <c r="D5" i="17"/>
  <c r="H107" i="14"/>
  <c r="P107" i="14"/>
  <c r="G14" i="17" s="1"/>
  <c r="O107" i="14"/>
  <c r="L107" i="14"/>
  <c r="K107" i="14"/>
  <c r="D14" i="17" s="1"/>
  <c r="G107" i="14"/>
  <c r="B14" i="17" s="1"/>
  <c r="P72" i="14"/>
  <c r="G13" i="17" s="1"/>
  <c r="O72" i="14"/>
  <c r="F13" i="17" s="1"/>
  <c r="L72" i="14"/>
  <c r="E13" i="17" s="1"/>
  <c r="K72" i="14"/>
  <c r="D13" i="17" s="1"/>
  <c r="H72" i="14"/>
  <c r="C13" i="17" s="1"/>
  <c r="G72" i="14"/>
  <c r="B13" i="17" s="1"/>
  <c r="P57" i="14"/>
  <c r="G12" i="17" s="1"/>
  <c r="O57" i="14"/>
  <c r="F12" i="17" s="1"/>
  <c r="L57" i="14"/>
  <c r="E12" i="17" s="1"/>
  <c r="K57" i="14"/>
  <c r="D12" i="17" s="1"/>
  <c r="H57" i="14"/>
  <c r="C12" i="17" s="1"/>
  <c r="G57" i="14"/>
  <c r="B12" i="17" s="1"/>
  <c r="P48" i="14"/>
  <c r="G11" i="17" s="1"/>
  <c r="O48" i="14"/>
  <c r="F11" i="17" s="1"/>
  <c r="L48" i="14"/>
  <c r="E11" i="17" s="1"/>
  <c r="K48" i="14"/>
  <c r="D11" i="17" s="1"/>
  <c r="H48" i="14"/>
  <c r="C11" i="17" s="1"/>
  <c r="G48" i="14"/>
  <c r="B11" i="17" s="1"/>
  <c r="F12" i="3"/>
  <c r="G12" i="3"/>
  <c r="H12" i="3"/>
  <c r="I12" i="3"/>
  <c r="J12" i="3"/>
  <c r="K12" i="3"/>
  <c r="L12" i="3"/>
  <c r="M12" i="3"/>
  <c r="N12" i="3"/>
  <c r="O12" i="3"/>
  <c r="P12" i="3"/>
  <c r="Q12" i="3"/>
  <c r="R12" i="3"/>
  <c r="S12" i="3"/>
  <c r="T12" i="3"/>
  <c r="U12" i="3"/>
  <c r="V12" i="3"/>
  <c r="W12" i="3"/>
  <c r="X12" i="3"/>
  <c r="Y12" i="3"/>
  <c r="Z12" i="3"/>
  <c r="AA12" i="3"/>
  <c r="AB12" i="3"/>
  <c r="AC12" i="3"/>
  <c r="AD12" i="3"/>
  <c r="AE12" i="3"/>
  <c r="AF12" i="3"/>
  <c r="AG12" i="3"/>
  <c r="AH12" i="3"/>
  <c r="AI12" i="3"/>
  <c r="AJ12" i="3"/>
  <c r="AK12" i="3"/>
  <c r="AL12" i="3"/>
  <c r="AM12" i="3"/>
  <c r="AN12" i="3"/>
  <c r="AO12" i="3"/>
  <c r="AP12" i="3"/>
  <c r="AQ12" i="3"/>
  <c r="AR12" i="3"/>
  <c r="AS12" i="3"/>
  <c r="AT12" i="3"/>
  <c r="AU12" i="3"/>
  <c r="AV12" i="3"/>
  <c r="AW12" i="3"/>
  <c r="AX12" i="3"/>
  <c r="AY12" i="3"/>
  <c r="AZ12" i="3"/>
  <c r="BA12" i="3"/>
  <c r="BB12" i="3"/>
  <c r="BC12" i="3"/>
  <c r="BD12" i="3"/>
  <c r="BE12" i="3"/>
  <c r="BF12" i="3"/>
  <c r="BG12" i="3"/>
  <c r="BH12" i="3"/>
  <c r="BI12" i="3"/>
  <c r="BJ12" i="3"/>
  <c r="BK12" i="3"/>
  <c r="BL12" i="3"/>
  <c r="BM12" i="3"/>
  <c r="BN12" i="3"/>
  <c r="BO12" i="3"/>
  <c r="BP12" i="3"/>
  <c r="BQ12" i="3"/>
  <c r="BR12" i="3"/>
  <c r="BS12" i="3"/>
  <c r="BT12" i="3"/>
  <c r="BU12" i="3"/>
  <c r="BV12" i="3"/>
  <c r="BW12" i="3"/>
  <c r="BX12" i="3"/>
  <c r="BY12" i="3"/>
  <c r="BZ12" i="3"/>
  <c r="CA12" i="3"/>
  <c r="BG11" i="3"/>
  <c r="BH11" i="3"/>
  <c r="BI11" i="3"/>
  <c r="BJ11" i="3"/>
  <c r="BK11" i="3"/>
  <c r="BL11" i="3"/>
  <c r="BM11" i="3"/>
  <c r="BN11" i="3"/>
  <c r="BO11" i="3"/>
  <c r="BP11" i="3"/>
  <c r="BQ11" i="3"/>
  <c r="BR11" i="3"/>
  <c r="BS11" i="3"/>
  <c r="BT11" i="3"/>
  <c r="BU11" i="3"/>
  <c r="BV11" i="3"/>
  <c r="BW11" i="3"/>
  <c r="BX11" i="3"/>
  <c r="BY11" i="3"/>
  <c r="BZ11" i="3"/>
  <c r="CA11" i="3"/>
  <c r="CB11" i="3"/>
  <c r="CC11" i="3"/>
  <c r="CD11" i="3"/>
  <c r="CE11" i="3"/>
  <c r="CF11" i="3"/>
  <c r="CG11" i="3"/>
  <c r="CH11" i="3"/>
  <c r="CI11" i="3"/>
  <c r="CJ11" i="3"/>
  <c r="CK11" i="3"/>
  <c r="CL11" i="3"/>
  <c r="CM11" i="3"/>
  <c r="CN11" i="3"/>
  <c r="CO11" i="3"/>
  <c r="CP11" i="3"/>
  <c r="CQ11" i="3"/>
  <c r="CR11" i="3"/>
  <c r="CS11" i="3"/>
  <c r="CT11" i="3"/>
  <c r="CU11" i="3"/>
  <c r="CV11" i="3"/>
  <c r="CW11" i="3"/>
  <c r="CX11" i="3"/>
  <c r="CY11" i="3"/>
  <c r="CZ11" i="3"/>
  <c r="DA11" i="3"/>
  <c r="DB11" i="3"/>
  <c r="DC11" i="3"/>
  <c r="DD11" i="3"/>
  <c r="DE11" i="3"/>
  <c r="DF11" i="3"/>
  <c r="DG11" i="3"/>
  <c r="DH11" i="3"/>
  <c r="DI11" i="3"/>
  <c r="DJ11" i="3"/>
  <c r="DK11" i="3"/>
  <c r="DL11" i="3"/>
  <c r="DM11" i="3"/>
  <c r="DN11" i="3"/>
  <c r="DO11" i="3"/>
  <c r="DP11" i="3"/>
  <c r="DQ11" i="3"/>
  <c r="DR11" i="3"/>
  <c r="DS11" i="3"/>
  <c r="DT11" i="3"/>
  <c r="DU11" i="3"/>
  <c r="DV11" i="3"/>
  <c r="DW11" i="3"/>
  <c r="DX11" i="3"/>
  <c r="DY11" i="3"/>
  <c r="DZ11" i="3"/>
  <c r="EA11" i="3"/>
  <c r="EB11" i="3"/>
  <c r="EC11" i="3"/>
  <c r="ED11" i="3"/>
  <c r="EE11" i="3"/>
  <c r="EF11" i="3"/>
  <c r="EG11" i="3"/>
  <c r="EH11" i="3"/>
  <c r="EI11" i="3"/>
  <c r="EJ11" i="3"/>
  <c r="EK11" i="3"/>
  <c r="EL11" i="3"/>
  <c r="EM11" i="3"/>
  <c r="EN11" i="3"/>
  <c r="EO11" i="3"/>
  <c r="EP11" i="3"/>
  <c r="EQ11" i="3"/>
  <c r="ER11" i="3"/>
  <c r="ES11" i="3"/>
  <c r="ET11" i="3"/>
  <c r="EU11" i="3"/>
  <c r="EV11" i="3"/>
  <c r="EW11" i="3"/>
  <c r="EX11" i="3"/>
  <c r="EY11" i="3"/>
  <c r="EZ11" i="3"/>
  <c r="FA11" i="3"/>
  <c r="FB11" i="3"/>
  <c r="FC11" i="3"/>
  <c r="FD11" i="3"/>
  <c r="FE11" i="3"/>
  <c r="FF11" i="3"/>
  <c r="FG11" i="3"/>
  <c r="FH11" i="3"/>
  <c r="FI11" i="3"/>
  <c r="FJ11" i="3"/>
  <c r="FK11" i="3"/>
  <c r="FL11" i="3"/>
  <c r="FM11" i="3"/>
  <c r="FN11" i="3"/>
  <c r="FO11" i="3"/>
  <c r="FP11" i="3"/>
  <c r="FQ11" i="3"/>
  <c r="FR11" i="3"/>
  <c r="FS11" i="3"/>
  <c r="FT11" i="3"/>
  <c r="FU11" i="3"/>
  <c r="FV11" i="3"/>
  <c r="FW11" i="3"/>
  <c r="FX11" i="3"/>
  <c r="FY11" i="3"/>
  <c r="FZ11" i="3"/>
  <c r="GA11" i="3"/>
  <c r="GB11" i="3"/>
  <c r="GC11" i="3"/>
  <c r="GD11" i="3"/>
  <c r="GE11" i="3"/>
  <c r="GF11" i="3"/>
  <c r="GG11" i="3"/>
  <c r="GH11" i="3"/>
  <c r="GI11" i="3"/>
  <c r="GJ11" i="3"/>
  <c r="GK11" i="3"/>
  <c r="GL11" i="3"/>
  <c r="GM11" i="3"/>
  <c r="GN11" i="3"/>
  <c r="GO11" i="3"/>
  <c r="GP11" i="3"/>
  <c r="GQ11" i="3"/>
  <c r="GR11" i="3"/>
  <c r="GS11" i="3"/>
  <c r="GT11" i="3"/>
  <c r="GU11" i="3"/>
  <c r="GV11" i="3"/>
  <c r="GW11" i="3"/>
  <c r="GX11" i="3"/>
  <c r="GY11" i="3"/>
  <c r="GZ11" i="3"/>
  <c r="HA11" i="3"/>
  <c r="HB11" i="3"/>
  <c r="HC11" i="3"/>
  <c r="HD11" i="3"/>
  <c r="HE11" i="3"/>
  <c r="HF11" i="3"/>
  <c r="HG11" i="3"/>
  <c r="HH11" i="3"/>
  <c r="HI11" i="3"/>
  <c r="HJ11" i="3"/>
  <c r="HK11" i="3"/>
  <c r="HL11" i="3"/>
  <c r="HM11" i="3"/>
  <c r="HN11" i="3"/>
  <c r="HO11" i="3"/>
  <c r="HP11" i="3"/>
  <c r="HQ11" i="3"/>
  <c r="HR11" i="3"/>
  <c r="HS11" i="3"/>
  <c r="HT11" i="3"/>
  <c r="HU11" i="3"/>
  <c r="HV11" i="3"/>
  <c r="HW11" i="3"/>
  <c r="HX11" i="3"/>
  <c r="HY11" i="3"/>
  <c r="HZ11" i="3"/>
  <c r="IA11" i="3"/>
  <c r="IB11" i="3"/>
  <c r="IC11" i="3"/>
  <c r="ID11" i="3"/>
  <c r="IE11" i="3"/>
  <c r="IF11" i="3"/>
  <c r="IG11" i="3"/>
  <c r="IH11" i="3"/>
  <c r="II11" i="3"/>
  <c r="IJ11" i="3"/>
  <c r="IK11" i="3"/>
  <c r="IL11" i="3"/>
  <c r="IM11" i="3"/>
  <c r="IN11" i="3"/>
  <c r="IO11" i="3"/>
  <c r="IP11" i="3"/>
  <c r="IQ11" i="3"/>
  <c r="IR11" i="3"/>
  <c r="IS11" i="3"/>
  <c r="IT11" i="3"/>
  <c r="IU11" i="3"/>
  <c r="IV11" i="3"/>
  <c r="H109" i="14" l="1"/>
  <c r="C16" i="17" s="1"/>
  <c r="O109" i="14"/>
  <c r="F16" i="17" s="1"/>
  <c r="L109" i="14"/>
  <c r="E16" i="17" s="1"/>
  <c r="P109" i="14"/>
  <c r="G16" i="17" s="1"/>
  <c r="F14" i="17"/>
  <c r="K109" i="14"/>
  <c r="D16" i="17" s="1"/>
  <c r="G109" i="14"/>
  <c r="B16" i="17" s="1"/>
  <c r="C14" i="17"/>
  <c r="E14" i="17"/>
  <c r="F2" i="3"/>
  <c r="G2" i="3"/>
  <c r="H2" i="3"/>
  <c r="I2" i="3"/>
  <c r="J2" i="3"/>
  <c r="K2" i="3"/>
  <c r="L2" i="3"/>
  <c r="M2" i="3"/>
  <c r="N2" i="3"/>
  <c r="O2" i="3"/>
  <c r="P2" i="3"/>
  <c r="Q2" i="3"/>
  <c r="R2" i="3"/>
  <c r="S2" i="3"/>
  <c r="T2" i="3"/>
  <c r="U2" i="3"/>
  <c r="V2" i="3"/>
  <c r="W2" i="3"/>
  <c r="X2" i="3"/>
  <c r="Y2" i="3"/>
  <c r="Z2" i="3"/>
  <c r="AA2" i="3"/>
  <c r="AB2" i="3"/>
  <c r="AC2" i="3"/>
  <c r="AD2" i="3"/>
  <c r="AE2" i="3"/>
  <c r="AF2" i="3"/>
  <c r="AG2" i="3"/>
  <c r="AH2" i="3"/>
  <c r="AI2" i="3"/>
  <c r="AJ2" i="3"/>
  <c r="AK2" i="3"/>
  <c r="AL2" i="3"/>
  <c r="AM2" i="3"/>
  <c r="AN2" i="3"/>
  <c r="AO2" i="3"/>
  <c r="AP2" i="3"/>
  <c r="AQ2" i="3"/>
  <c r="AR2" i="3"/>
  <c r="AS2" i="3"/>
  <c r="AT2" i="3"/>
  <c r="AU2" i="3"/>
  <c r="AV2" i="3"/>
  <c r="AW2" i="3"/>
  <c r="AX2" i="3"/>
  <c r="AY2" i="3"/>
  <c r="AZ2" i="3"/>
  <c r="BA2" i="3"/>
  <c r="BB2" i="3"/>
  <c r="BC2" i="3"/>
  <c r="BD2" i="3"/>
  <c r="BE2" i="3"/>
  <c r="BF2" i="3"/>
  <c r="BG2" i="3"/>
  <c r="BH2" i="3"/>
  <c r="BI2" i="3"/>
  <c r="BJ2" i="3"/>
  <c r="BK2" i="3"/>
  <c r="BL2" i="3"/>
  <c r="BM2" i="3"/>
  <c r="BN2" i="3"/>
  <c r="BO2" i="3"/>
  <c r="BP2" i="3"/>
  <c r="BQ2" i="3"/>
  <c r="BR2" i="3"/>
  <c r="BS2" i="3"/>
  <c r="BT2" i="3"/>
  <c r="BU2" i="3"/>
  <c r="BV2" i="3"/>
  <c r="BW2" i="3"/>
  <c r="BX2" i="3"/>
  <c r="BY2" i="3"/>
  <c r="BZ2" i="3"/>
  <c r="CA2" i="3"/>
  <c r="CB2" i="3"/>
  <c r="CC2" i="3"/>
  <c r="CD2" i="3"/>
  <c r="CE2" i="3"/>
  <c r="CF2" i="3"/>
  <c r="CG2" i="3"/>
  <c r="CH2" i="3"/>
  <c r="CI2" i="3"/>
  <c r="CJ2" i="3"/>
  <c r="CK2" i="3"/>
  <c r="CL2" i="3"/>
  <c r="CM2" i="3"/>
  <c r="CN2" i="3"/>
  <c r="CO2" i="3"/>
  <c r="CP2" i="3"/>
  <c r="CQ2" i="3"/>
  <c r="CR2" i="3"/>
  <c r="CS2" i="3"/>
  <c r="CT2" i="3"/>
  <c r="CU2" i="3"/>
  <c r="CV2" i="3"/>
  <c r="CW2" i="3"/>
  <c r="CX2" i="3"/>
  <c r="CY2" i="3"/>
  <c r="CZ2" i="3"/>
  <c r="DA2" i="3"/>
  <c r="DB2" i="3"/>
  <c r="DC2" i="3"/>
  <c r="DD2" i="3"/>
  <c r="DE2" i="3"/>
  <c r="DF2" i="3"/>
  <c r="DG2" i="3"/>
  <c r="DH2" i="3"/>
  <c r="DI2" i="3"/>
  <c r="DJ2" i="3"/>
  <c r="DK2" i="3"/>
  <c r="DL2" i="3"/>
  <c r="DM2" i="3"/>
  <c r="DN2" i="3"/>
  <c r="DO2" i="3"/>
  <c r="DP2" i="3"/>
  <c r="DQ2" i="3"/>
  <c r="DR2" i="3"/>
  <c r="DS2" i="3"/>
  <c r="DT2" i="3"/>
  <c r="DU2" i="3"/>
  <c r="DV2" i="3"/>
  <c r="DW2" i="3"/>
  <c r="DX2" i="3"/>
  <c r="DY2" i="3"/>
  <c r="DZ2" i="3"/>
  <c r="EA2" i="3"/>
  <c r="EB2" i="3"/>
  <c r="EC2" i="3"/>
  <c r="ED2" i="3"/>
  <c r="EE2" i="3"/>
  <c r="EF2" i="3"/>
  <c r="EG2" i="3"/>
  <c r="EH2" i="3"/>
  <c r="EI2" i="3"/>
  <c r="EJ2" i="3"/>
  <c r="EK2" i="3"/>
  <c r="EL2" i="3"/>
  <c r="EM2" i="3"/>
  <c r="EN2" i="3"/>
  <c r="EO2" i="3"/>
  <c r="EP2" i="3"/>
  <c r="EQ2" i="3"/>
  <c r="ER2" i="3"/>
  <c r="ES2" i="3"/>
  <c r="ET2" i="3"/>
  <c r="EU2" i="3"/>
  <c r="EV2" i="3"/>
  <c r="EW2" i="3"/>
  <c r="EX2" i="3"/>
  <c r="EY2" i="3"/>
  <c r="EZ2" i="3"/>
  <c r="FA2" i="3"/>
  <c r="FB2" i="3"/>
  <c r="FC2" i="3"/>
  <c r="FD2" i="3"/>
  <c r="FE2" i="3"/>
  <c r="FF2" i="3"/>
  <c r="FG2" i="3"/>
  <c r="FH2" i="3"/>
  <c r="FI2" i="3"/>
  <c r="FJ2" i="3"/>
  <c r="FK2" i="3"/>
  <c r="FL2" i="3"/>
  <c r="FM2" i="3"/>
  <c r="FN2" i="3"/>
  <c r="FO2" i="3"/>
  <c r="FP2" i="3"/>
  <c r="FQ2" i="3"/>
  <c r="FR2" i="3"/>
  <c r="FS2" i="3"/>
  <c r="FT2" i="3"/>
  <c r="FU2" i="3"/>
  <c r="FV2" i="3"/>
  <c r="FW2" i="3"/>
  <c r="FX2" i="3"/>
  <c r="FY2" i="3"/>
  <c r="FZ2" i="3"/>
  <c r="GA2" i="3"/>
  <c r="GB2" i="3"/>
  <c r="GC2" i="3"/>
  <c r="GD2" i="3"/>
  <c r="GE2" i="3"/>
  <c r="GF2" i="3"/>
  <c r="GG2" i="3"/>
  <c r="GH2" i="3"/>
  <c r="GI2" i="3"/>
  <c r="GJ2" i="3"/>
  <c r="GK2" i="3"/>
  <c r="GL2" i="3"/>
  <c r="GM2" i="3"/>
  <c r="GN2" i="3"/>
  <c r="GO2" i="3"/>
  <c r="GP2" i="3"/>
  <c r="GQ2" i="3"/>
  <c r="GR2" i="3"/>
  <c r="GS2" i="3"/>
  <c r="GT2" i="3"/>
  <c r="GU2" i="3"/>
  <c r="GV2" i="3"/>
  <c r="GW2" i="3"/>
  <c r="GX2" i="3"/>
  <c r="GY2" i="3"/>
  <c r="GZ2" i="3"/>
  <c r="HA2" i="3"/>
  <c r="HB2" i="3"/>
  <c r="HC2" i="3"/>
  <c r="HD2" i="3"/>
  <c r="HE2" i="3"/>
  <c r="HF2" i="3"/>
  <c r="HG2" i="3"/>
  <c r="HH2" i="3"/>
  <c r="HI2" i="3"/>
  <c r="HJ2" i="3"/>
  <c r="HK2" i="3"/>
  <c r="HL2" i="3"/>
  <c r="HM2" i="3"/>
  <c r="HN2" i="3"/>
  <c r="HO2" i="3"/>
  <c r="HP2" i="3"/>
  <c r="HQ2" i="3"/>
  <c r="HR2" i="3"/>
  <c r="HS2" i="3"/>
  <c r="HT2" i="3"/>
  <c r="HU2" i="3"/>
  <c r="HV2" i="3"/>
  <c r="HW2" i="3"/>
  <c r="HX2" i="3"/>
  <c r="HY2" i="3"/>
  <c r="HZ2" i="3"/>
  <c r="IA2" i="3"/>
  <c r="IB2" i="3"/>
  <c r="IC2" i="3"/>
  <c r="ID2" i="3"/>
  <c r="IE2" i="3"/>
  <c r="IF2" i="3"/>
  <c r="IG2" i="3"/>
  <c r="IH2" i="3"/>
  <c r="II2" i="3"/>
  <c r="IJ2" i="3"/>
  <c r="IK2" i="3"/>
  <c r="IL2" i="3"/>
  <c r="IM2" i="3"/>
  <c r="IN2" i="3"/>
  <c r="IO2" i="3"/>
  <c r="IP2" i="3"/>
  <c r="IQ2" i="3"/>
  <c r="IR2" i="3"/>
  <c r="IS2" i="3"/>
  <c r="IT2" i="3"/>
  <c r="IU2" i="3"/>
  <c r="IV2" i="3"/>
  <c r="F3" i="3"/>
  <c r="G3" i="3"/>
  <c r="H3" i="3"/>
  <c r="I3" i="3"/>
  <c r="J3" i="3"/>
  <c r="K3" i="3"/>
  <c r="L3" i="3"/>
  <c r="M3" i="3"/>
  <c r="N3" i="3"/>
  <c r="O3" i="3"/>
  <c r="P3" i="3"/>
  <c r="Q3" i="3"/>
  <c r="R3" i="3"/>
  <c r="S3" i="3"/>
  <c r="T3" i="3"/>
  <c r="U3" i="3"/>
  <c r="V3" i="3"/>
  <c r="W3" i="3"/>
  <c r="X3" i="3"/>
  <c r="Y3" i="3"/>
  <c r="Z3" i="3"/>
  <c r="AA3" i="3"/>
  <c r="AB3" i="3"/>
  <c r="AC3" i="3"/>
  <c r="AD3" i="3"/>
  <c r="AE3" i="3"/>
  <c r="AF3" i="3"/>
  <c r="AG3" i="3"/>
  <c r="AH3" i="3"/>
  <c r="AI3" i="3"/>
  <c r="AJ3" i="3"/>
  <c r="AK3" i="3"/>
  <c r="AL3" i="3"/>
  <c r="AM3" i="3"/>
  <c r="AN3" i="3"/>
  <c r="AO3" i="3"/>
  <c r="AP3" i="3"/>
  <c r="AQ3" i="3"/>
  <c r="AR3" i="3"/>
  <c r="AS3" i="3"/>
  <c r="AT3" i="3"/>
  <c r="AU3" i="3"/>
  <c r="AV3" i="3"/>
  <c r="AW3" i="3"/>
  <c r="AX3" i="3"/>
  <c r="AY3" i="3"/>
  <c r="AZ3" i="3"/>
  <c r="BA3" i="3"/>
  <c r="BB3" i="3"/>
  <c r="BC3" i="3"/>
  <c r="BD3" i="3"/>
  <c r="BE3" i="3"/>
  <c r="BF3" i="3"/>
  <c r="BG3" i="3"/>
  <c r="BH3" i="3"/>
  <c r="BI3" i="3"/>
  <c r="BJ3" i="3"/>
  <c r="BK3" i="3"/>
  <c r="BL3" i="3"/>
  <c r="BM3" i="3"/>
  <c r="BN3" i="3"/>
  <c r="BO3" i="3"/>
  <c r="BP3" i="3"/>
  <c r="BQ3" i="3"/>
  <c r="BR3" i="3"/>
  <c r="BS3" i="3"/>
  <c r="BT3" i="3"/>
  <c r="BU3" i="3"/>
  <c r="BV3" i="3"/>
  <c r="BW3" i="3"/>
  <c r="BX3" i="3"/>
  <c r="BY3" i="3"/>
  <c r="BZ3" i="3"/>
  <c r="CA3" i="3"/>
  <c r="CB3" i="3"/>
  <c r="CC3" i="3"/>
  <c r="CD3" i="3"/>
  <c r="CE3" i="3"/>
  <c r="CF3" i="3"/>
  <c r="CG3" i="3"/>
  <c r="CH3" i="3"/>
  <c r="CI3" i="3"/>
  <c r="CJ3" i="3"/>
  <c r="CK3" i="3"/>
  <c r="CL3" i="3"/>
  <c r="CM3" i="3"/>
  <c r="CN3" i="3"/>
  <c r="CO3" i="3"/>
  <c r="CP3" i="3"/>
  <c r="CQ3" i="3"/>
  <c r="CR3" i="3"/>
  <c r="CS3" i="3"/>
  <c r="CT3" i="3"/>
  <c r="CU3" i="3"/>
  <c r="CV3" i="3"/>
  <c r="CW3" i="3"/>
  <c r="CX3" i="3"/>
  <c r="CY3" i="3"/>
  <c r="CZ3" i="3"/>
  <c r="DA3" i="3"/>
  <c r="DB3" i="3"/>
  <c r="DC3" i="3"/>
  <c r="DD3" i="3"/>
  <c r="DE3" i="3"/>
  <c r="DF3" i="3"/>
  <c r="DG3" i="3"/>
  <c r="DH3" i="3"/>
  <c r="DI3" i="3"/>
  <c r="DJ3" i="3"/>
  <c r="DK3" i="3"/>
  <c r="DL3" i="3"/>
  <c r="DM3" i="3"/>
  <c r="DN3" i="3"/>
  <c r="DO3" i="3"/>
  <c r="DP3" i="3"/>
  <c r="DQ3" i="3"/>
  <c r="DR3" i="3"/>
  <c r="DS3" i="3"/>
  <c r="DT3" i="3"/>
  <c r="DU3" i="3"/>
  <c r="DV3" i="3"/>
  <c r="DW3" i="3"/>
  <c r="DX3" i="3"/>
  <c r="DY3" i="3"/>
  <c r="DZ3" i="3"/>
  <c r="EA3" i="3"/>
  <c r="EB3" i="3"/>
  <c r="EC3" i="3"/>
  <c r="ED3" i="3"/>
  <c r="EE3" i="3"/>
  <c r="EF3" i="3"/>
  <c r="EG3" i="3"/>
  <c r="EH3" i="3"/>
  <c r="EI3" i="3"/>
  <c r="EJ3" i="3"/>
  <c r="EK3" i="3"/>
  <c r="EL3" i="3"/>
  <c r="EM3" i="3"/>
  <c r="EN3" i="3"/>
  <c r="EO3" i="3"/>
  <c r="EP3" i="3"/>
  <c r="EQ3" i="3"/>
  <c r="ER3" i="3"/>
  <c r="ES3" i="3"/>
  <c r="ET3" i="3"/>
  <c r="EU3" i="3"/>
  <c r="EV3" i="3"/>
  <c r="EW3" i="3"/>
  <c r="EX3" i="3"/>
  <c r="EY3" i="3"/>
  <c r="EZ3" i="3"/>
  <c r="FA3" i="3"/>
  <c r="FB3" i="3"/>
  <c r="FC3" i="3"/>
  <c r="FD3" i="3"/>
  <c r="FE3" i="3"/>
  <c r="FF3" i="3"/>
  <c r="FG3" i="3"/>
  <c r="FH3" i="3"/>
  <c r="FI3" i="3"/>
  <c r="FJ3" i="3"/>
  <c r="FK3" i="3"/>
  <c r="FL3" i="3"/>
  <c r="FM3" i="3"/>
  <c r="FN3" i="3"/>
  <c r="FO3" i="3"/>
  <c r="FP3" i="3"/>
  <c r="FQ3" i="3"/>
  <c r="FR3" i="3"/>
  <c r="FS3" i="3"/>
  <c r="FT3" i="3"/>
  <c r="FU3" i="3"/>
  <c r="FV3" i="3"/>
  <c r="FW3" i="3"/>
  <c r="FX3" i="3"/>
  <c r="FY3" i="3"/>
  <c r="FZ3" i="3"/>
  <c r="GA3" i="3"/>
  <c r="GB3" i="3"/>
  <c r="GC3" i="3"/>
  <c r="GD3" i="3"/>
  <c r="GE3" i="3"/>
  <c r="GF3" i="3"/>
  <c r="GG3" i="3"/>
  <c r="GH3" i="3"/>
  <c r="GI3" i="3"/>
  <c r="GJ3" i="3"/>
  <c r="GK3" i="3"/>
  <c r="GL3" i="3"/>
  <c r="GM3" i="3"/>
  <c r="GN3" i="3"/>
  <c r="GO3" i="3"/>
  <c r="GP3" i="3"/>
  <c r="GQ3" i="3"/>
  <c r="GR3" i="3"/>
  <c r="GS3" i="3"/>
  <c r="GT3" i="3"/>
  <c r="GU3" i="3"/>
  <c r="GV3" i="3"/>
  <c r="GW3" i="3"/>
  <c r="GX3" i="3"/>
  <c r="GY3" i="3"/>
  <c r="GZ3" i="3"/>
  <c r="HA3" i="3"/>
  <c r="HB3" i="3"/>
  <c r="HC3" i="3"/>
  <c r="HD3" i="3"/>
  <c r="HE3" i="3"/>
  <c r="HF3" i="3"/>
  <c r="HG3" i="3"/>
  <c r="HH3" i="3"/>
  <c r="HI3" i="3"/>
  <c r="HJ3" i="3"/>
  <c r="HK3" i="3"/>
  <c r="HL3" i="3"/>
  <c r="HM3" i="3"/>
  <c r="HN3" i="3"/>
  <c r="HO3" i="3"/>
  <c r="HP3" i="3"/>
  <c r="HQ3" i="3"/>
  <c r="HR3" i="3"/>
  <c r="HS3" i="3"/>
  <c r="HT3" i="3"/>
  <c r="HU3" i="3"/>
  <c r="HV3" i="3"/>
  <c r="HW3" i="3"/>
  <c r="HX3" i="3"/>
  <c r="HY3" i="3"/>
  <c r="HZ3" i="3"/>
  <c r="IA3" i="3"/>
  <c r="IB3" i="3"/>
  <c r="IC3" i="3"/>
  <c r="ID3" i="3"/>
  <c r="IE3" i="3"/>
  <c r="IF3" i="3"/>
  <c r="IG3" i="3"/>
  <c r="IH3" i="3"/>
  <c r="II3" i="3"/>
  <c r="IJ3" i="3"/>
  <c r="IK3" i="3"/>
  <c r="IL3" i="3"/>
  <c r="IM3" i="3"/>
  <c r="IN3" i="3"/>
  <c r="IO3" i="3"/>
  <c r="IP3" i="3"/>
  <c r="IQ3" i="3"/>
  <c r="IR3" i="3"/>
  <c r="IS3" i="3"/>
  <c r="IT3" i="3"/>
  <c r="IU3" i="3"/>
  <c r="IV3" i="3"/>
  <c r="F4" i="3"/>
  <c r="G4" i="3"/>
  <c r="H4" i="3"/>
  <c r="I4" i="3"/>
  <c r="J4" i="3"/>
  <c r="K4" i="3"/>
  <c r="L4" i="3"/>
  <c r="M4" i="3"/>
  <c r="N4" i="3"/>
  <c r="O4" i="3"/>
  <c r="P4" i="3"/>
  <c r="Q4" i="3"/>
  <c r="R4" i="3"/>
  <c r="S4" i="3"/>
  <c r="T4" i="3"/>
  <c r="U4" i="3"/>
  <c r="V4" i="3"/>
  <c r="W4" i="3"/>
  <c r="X4" i="3"/>
  <c r="Y4" i="3"/>
  <c r="Z4" i="3"/>
  <c r="AA4" i="3"/>
  <c r="AB4" i="3"/>
  <c r="AC4" i="3"/>
  <c r="AD4" i="3"/>
  <c r="AE4" i="3"/>
  <c r="AF4" i="3"/>
  <c r="AG4" i="3"/>
  <c r="AH4" i="3"/>
  <c r="AI4" i="3"/>
  <c r="AJ4" i="3"/>
  <c r="AK4" i="3"/>
  <c r="AL4" i="3"/>
  <c r="AM4" i="3"/>
  <c r="AN4" i="3"/>
  <c r="AO4" i="3"/>
  <c r="AP4" i="3"/>
  <c r="AQ4" i="3"/>
  <c r="AR4" i="3"/>
  <c r="AS4" i="3"/>
  <c r="AT4" i="3"/>
  <c r="AU4" i="3"/>
  <c r="AV4" i="3"/>
  <c r="AW4" i="3"/>
  <c r="AX4" i="3"/>
  <c r="AY4" i="3"/>
  <c r="AZ4" i="3"/>
  <c r="BA4" i="3"/>
  <c r="BB4" i="3"/>
  <c r="BC4" i="3"/>
  <c r="BD4" i="3"/>
  <c r="BE4" i="3"/>
  <c r="BF4" i="3"/>
  <c r="BG4" i="3"/>
  <c r="BH4" i="3"/>
  <c r="BI4" i="3"/>
  <c r="BJ4" i="3"/>
  <c r="BK4" i="3"/>
  <c r="BL4" i="3"/>
  <c r="BM4" i="3"/>
  <c r="BN4" i="3"/>
  <c r="BO4" i="3"/>
  <c r="BP4" i="3"/>
  <c r="BQ4" i="3"/>
  <c r="BR4" i="3"/>
  <c r="BS4" i="3"/>
  <c r="BT4" i="3"/>
  <c r="BU4" i="3"/>
  <c r="BV4" i="3"/>
  <c r="BW4" i="3"/>
  <c r="BX4" i="3"/>
  <c r="BY4" i="3"/>
  <c r="BZ4" i="3"/>
  <c r="CA4" i="3"/>
  <c r="CB4" i="3"/>
  <c r="CC4" i="3"/>
  <c r="CD4" i="3"/>
  <c r="CE4" i="3"/>
  <c r="CF4" i="3"/>
  <c r="CG4" i="3"/>
  <c r="CH4" i="3"/>
  <c r="CI4" i="3"/>
  <c r="CJ4" i="3"/>
  <c r="CK4" i="3"/>
  <c r="CL4" i="3"/>
  <c r="CM4" i="3"/>
  <c r="CN4" i="3"/>
  <c r="CO4" i="3"/>
  <c r="CP4" i="3"/>
  <c r="CQ4" i="3"/>
  <c r="CR4" i="3"/>
  <c r="CS4" i="3"/>
  <c r="CT4" i="3"/>
  <c r="CU4" i="3"/>
  <c r="CV4" i="3"/>
  <c r="CW4" i="3"/>
  <c r="CX4" i="3"/>
  <c r="CY4" i="3"/>
  <c r="CZ4" i="3"/>
  <c r="DA4" i="3"/>
  <c r="DB4" i="3"/>
  <c r="DC4" i="3"/>
  <c r="DD4" i="3"/>
  <c r="DE4" i="3"/>
  <c r="DF4" i="3"/>
  <c r="DG4" i="3"/>
  <c r="DH4" i="3"/>
  <c r="DI4" i="3"/>
  <c r="DJ4" i="3"/>
  <c r="DK4" i="3"/>
  <c r="DL4" i="3"/>
  <c r="DM4" i="3"/>
  <c r="DN4" i="3"/>
  <c r="DO4" i="3"/>
  <c r="DP4" i="3"/>
  <c r="DQ4" i="3"/>
  <c r="DR4" i="3"/>
  <c r="DS4" i="3"/>
  <c r="DT4" i="3"/>
  <c r="DU4" i="3"/>
  <c r="DV4" i="3"/>
  <c r="DW4" i="3"/>
  <c r="DX4" i="3"/>
  <c r="DY4" i="3"/>
  <c r="DZ4" i="3"/>
  <c r="EA4" i="3"/>
  <c r="EB4" i="3"/>
  <c r="EC4" i="3"/>
  <c r="ED4" i="3"/>
  <c r="EE4" i="3"/>
  <c r="EF4" i="3"/>
  <c r="EG4" i="3"/>
  <c r="EH4" i="3"/>
  <c r="EI4" i="3"/>
  <c r="EJ4" i="3"/>
  <c r="EK4" i="3"/>
  <c r="EL4" i="3"/>
  <c r="EM4" i="3"/>
  <c r="EN4" i="3"/>
  <c r="EO4" i="3"/>
  <c r="EP4" i="3"/>
  <c r="EQ4" i="3"/>
  <c r="ER4" i="3"/>
  <c r="ES4" i="3"/>
  <c r="ET4" i="3"/>
  <c r="EU4" i="3"/>
  <c r="EV4" i="3"/>
  <c r="EW4" i="3"/>
  <c r="EX4" i="3"/>
  <c r="EY4" i="3"/>
  <c r="EZ4" i="3"/>
  <c r="FA4" i="3"/>
  <c r="FB4" i="3"/>
  <c r="FC4" i="3"/>
  <c r="FD4" i="3"/>
  <c r="FE4" i="3"/>
  <c r="FF4" i="3"/>
  <c r="FG4" i="3"/>
  <c r="FH4" i="3"/>
  <c r="FI4" i="3"/>
  <c r="FJ4" i="3"/>
  <c r="FK4" i="3"/>
  <c r="FL4" i="3"/>
  <c r="FM4" i="3"/>
  <c r="FN4" i="3"/>
  <c r="FO4" i="3"/>
  <c r="FP4" i="3"/>
  <c r="FQ4" i="3"/>
  <c r="FR4" i="3"/>
  <c r="FS4" i="3"/>
  <c r="FT4" i="3"/>
  <c r="FU4" i="3"/>
  <c r="FV4" i="3"/>
  <c r="FW4" i="3"/>
  <c r="FX4" i="3"/>
  <c r="FY4" i="3"/>
  <c r="FZ4" i="3"/>
  <c r="GA4" i="3"/>
  <c r="GB4" i="3"/>
  <c r="GC4" i="3"/>
  <c r="GD4" i="3"/>
  <c r="GE4" i="3"/>
  <c r="GF4" i="3"/>
  <c r="GG4" i="3"/>
  <c r="GH4" i="3"/>
  <c r="GI4" i="3"/>
  <c r="GJ4" i="3"/>
  <c r="GK4" i="3"/>
  <c r="GL4" i="3"/>
  <c r="GM4" i="3"/>
  <c r="GN4" i="3"/>
  <c r="GO4" i="3"/>
  <c r="GP4" i="3"/>
  <c r="GQ4" i="3"/>
  <c r="GR4" i="3"/>
  <c r="GS4" i="3"/>
  <c r="GT4" i="3"/>
  <c r="GU4" i="3"/>
  <c r="GV4" i="3"/>
  <c r="GW4" i="3"/>
  <c r="GX4" i="3"/>
  <c r="GY4" i="3"/>
  <c r="GZ4" i="3"/>
  <c r="HA4" i="3"/>
  <c r="HB4" i="3"/>
  <c r="HC4" i="3"/>
  <c r="HD4" i="3"/>
  <c r="HE4" i="3"/>
  <c r="HF4" i="3"/>
  <c r="HG4" i="3"/>
  <c r="HH4" i="3"/>
  <c r="HI4" i="3"/>
  <c r="HJ4" i="3"/>
  <c r="HK4" i="3"/>
  <c r="HL4" i="3"/>
  <c r="HM4" i="3"/>
  <c r="HN4" i="3"/>
  <c r="HO4" i="3"/>
  <c r="HP4" i="3"/>
  <c r="HQ4" i="3"/>
  <c r="HR4" i="3"/>
  <c r="HS4" i="3"/>
  <c r="HT4" i="3"/>
  <c r="HU4" i="3"/>
  <c r="HV4" i="3"/>
  <c r="HW4" i="3"/>
  <c r="HX4" i="3"/>
  <c r="HY4" i="3"/>
  <c r="HZ4" i="3"/>
  <c r="IA4" i="3"/>
  <c r="IB4" i="3"/>
  <c r="IC4" i="3"/>
  <c r="ID4" i="3"/>
  <c r="IE4" i="3"/>
  <c r="IF4" i="3"/>
  <c r="IG4" i="3"/>
  <c r="IH4" i="3"/>
  <c r="II4" i="3"/>
  <c r="IJ4" i="3"/>
  <c r="IK4" i="3"/>
  <c r="IL4" i="3"/>
  <c r="IM4" i="3"/>
  <c r="IN4" i="3"/>
  <c r="IO4" i="3"/>
  <c r="IP4" i="3"/>
  <c r="IQ4" i="3"/>
  <c r="IR4" i="3"/>
  <c r="IS4" i="3"/>
  <c r="IT4" i="3"/>
  <c r="IU4" i="3"/>
  <c r="IV4" i="3"/>
  <c r="F5" i="3"/>
  <c r="G5" i="3"/>
  <c r="H5" i="3"/>
  <c r="I5" i="3"/>
  <c r="J5" i="3"/>
  <c r="K5" i="3"/>
  <c r="L5" i="3"/>
  <c r="M5" i="3"/>
  <c r="N5" i="3"/>
  <c r="O5" i="3"/>
  <c r="P5" i="3"/>
  <c r="Q5" i="3"/>
  <c r="R5" i="3"/>
  <c r="S5" i="3"/>
  <c r="T5" i="3"/>
  <c r="U5" i="3"/>
  <c r="V5" i="3"/>
  <c r="W5" i="3"/>
  <c r="X5" i="3"/>
  <c r="Y5" i="3"/>
  <c r="Z5" i="3"/>
  <c r="AA5" i="3"/>
  <c r="AB5" i="3"/>
  <c r="AC5" i="3"/>
  <c r="AD5" i="3"/>
  <c r="AE5" i="3"/>
  <c r="AF5" i="3"/>
  <c r="AG5" i="3"/>
  <c r="AH5" i="3"/>
  <c r="AI5" i="3"/>
  <c r="AJ5" i="3"/>
  <c r="AK5" i="3"/>
  <c r="AL5" i="3"/>
  <c r="AM5" i="3"/>
  <c r="AN5" i="3"/>
  <c r="AO5" i="3"/>
  <c r="AP5" i="3"/>
  <c r="AQ5" i="3"/>
  <c r="AR5" i="3"/>
  <c r="AS5" i="3"/>
  <c r="AT5" i="3"/>
  <c r="AU5" i="3"/>
  <c r="AV5" i="3"/>
  <c r="AW5" i="3"/>
  <c r="AX5" i="3"/>
  <c r="AY5" i="3"/>
  <c r="AZ5" i="3"/>
  <c r="BA5" i="3"/>
  <c r="BB5" i="3"/>
  <c r="BC5" i="3"/>
  <c r="BD5" i="3"/>
  <c r="BE5" i="3"/>
  <c r="BF5" i="3"/>
  <c r="BG5" i="3"/>
  <c r="BH5" i="3"/>
  <c r="BI5" i="3"/>
  <c r="BJ5" i="3"/>
  <c r="BK5" i="3"/>
  <c r="BL5" i="3"/>
  <c r="BM5" i="3"/>
  <c r="BN5" i="3"/>
  <c r="BO5" i="3"/>
  <c r="BP5" i="3"/>
  <c r="BQ5" i="3"/>
  <c r="BR5" i="3"/>
  <c r="BS5" i="3"/>
  <c r="BT5" i="3"/>
  <c r="BU5" i="3"/>
  <c r="BV5" i="3"/>
  <c r="BW5" i="3"/>
  <c r="BX5" i="3"/>
  <c r="BY5" i="3"/>
  <c r="BZ5" i="3"/>
  <c r="CA5" i="3"/>
  <c r="CB5" i="3"/>
  <c r="CC5" i="3"/>
  <c r="CD5" i="3"/>
  <c r="CE5" i="3"/>
  <c r="CF5" i="3"/>
  <c r="CG5" i="3"/>
  <c r="CH5" i="3"/>
  <c r="CI5" i="3"/>
  <c r="CJ5" i="3"/>
  <c r="CK5" i="3"/>
  <c r="CL5" i="3"/>
  <c r="CM5" i="3"/>
  <c r="CN5" i="3"/>
  <c r="CO5" i="3"/>
  <c r="CP5" i="3"/>
  <c r="CQ5" i="3"/>
  <c r="CR5" i="3"/>
  <c r="CS5" i="3"/>
  <c r="CT5" i="3"/>
  <c r="CU5" i="3"/>
  <c r="CV5" i="3"/>
  <c r="CW5" i="3"/>
  <c r="CX5" i="3"/>
  <c r="CY5" i="3"/>
  <c r="CZ5" i="3"/>
  <c r="DA5" i="3"/>
  <c r="DB5" i="3"/>
  <c r="DC5" i="3"/>
  <c r="DD5" i="3"/>
  <c r="DE5" i="3"/>
  <c r="DF5" i="3"/>
  <c r="DG5" i="3"/>
  <c r="DH5" i="3"/>
  <c r="DI5" i="3"/>
  <c r="DJ5" i="3"/>
  <c r="DK5" i="3"/>
  <c r="DL5" i="3"/>
  <c r="DM5" i="3"/>
  <c r="DN5" i="3"/>
  <c r="DO5" i="3"/>
  <c r="DP5" i="3"/>
  <c r="DQ5" i="3"/>
  <c r="DR5" i="3"/>
  <c r="DS5" i="3"/>
  <c r="DT5" i="3"/>
  <c r="DU5" i="3"/>
  <c r="DV5" i="3"/>
  <c r="DW5" i="3"/>
  <c r="DX5" i="3"/>
  <c r="DY5" i="3"/>
  <c r="DZ5" i="3"/>
  <c r="EA5" i="3"/>
  <c r="EB5" i="3"/>
  <c r="EC5" i="3"/>
  <c r="ED5" i="3"/>
  <c r="EE5" i="3"/>
  <c r="EF5" i="3"/>
  <c r="EG5" i="3"/>
  <c r="EH5" i="3"/>
  <c r="EI5" i="3"/>
  <c r="EJ5" i="3"/>
  <c r="EK5" i="3"/>
  <c r="EL5" i="3"/>
  <c r="EM5" i="3"/>
  <c r="EN5" i="3"/>
  <c r="EO5" i="3"/>
  <c r="EP5" i="3"/>
  <c r="EQ5" i="3"/>
  <c r="ER5" i="3"/>
  <c r="ES5" i="3"/>
  <c r="ET5" i="3"/>
  <c r="EU5" i="3"/>
  <c r="EV5" i="3"/>
  <c r="EW5" i="3"/>
  <c r="EX5" i="3"/>
  <c r="EY5" i="3"/>
  <c r="EZ5" i="3"/>
  <c r="FA5" i="3"/>
  <c r="FB5" i="3"/>
  <c r="FC5" i="3"/>
  <c r="FD5" i="3"/>
  <c r="FE5" i="3"/>
  <c r="FF5" i="3"/>
  <c r="FG5" i="3"/>
  <c r="FH5" i="3"/>
  <c r="FI5" i="3"/>
  <c r="FJ5" i="3"/>
  <c r="FK5" i="3"/>
  <c r="FL5" i="3"/>
  <c r="FM5" i="3"/>
  <c r="FN5" i="3"/>
  <c r="FO5" i="3"/>
  <c r="FP5" i="3"/>
  <c r="FQ5" i="3"/>
  <c r="FR5" i="3"/>
  <c r="FS5" i="3"/>
  <c r="FT5" i="3"/>
  <c r="FU5" i="3"/>
  <c r="FV5" i="3"/>
  <c r="FW5" i="3"/>
  <c r="FX5" i="3"/>
  <c r="FY5" i="3"/>
  <c r="FZ5" i="3"/>
  <c r="GA5" i="3"/>
  <c r="GB5" i="3"/>
  <c r="GC5" i="3"/>
  <c r="GD5" i="3"/>
  <c r="GE5" i="3"/>
  <c r="GF5" i="3"/>
  <c r="GG5" i="3"/>
  <c r="GH5" i="3"/>
  <c r="GI5" i="3"/>
  <c r="GJ5" i="3"/>
  <c r="GK5" i="3"/>
  <c r="GL5" i="3"/>
  <c r="GM5" i="3"/>
  <c r="GN5" i="3"/>
  <c r="GO5" i="3"/>
  <c r="GP5" i="3"/>
  <c r="GQ5" i="3"/>
  <c r="GR5" i="3"/>
  <c r="GS5" i="3"/>
  <c r="GT5" i="3"/>
  <c r="GU5" i="3"/>
  <c r="GV5" i="3"/>
  <c r="GW5" i="3"/>
  <c r="GX5" i="3"/>
  <c r="GY5" i="3"/>
  <c r="GZ5" i="3"/>
  <c r="HA5" i="3"/>
  <c r="HB5" i="3"/>
  <c r="HC5" i="3"/>
  <c r="HD5" i="3"/>
  <c r="HE5" i="3"/>
  <c r="HF5" i="3"/>
  <c r="HG5" i="3"/>
  <c r="HH5" i="3"/>
  <c r="HI5" i="3"/>
  <c r="HJ5" i="3"/>
  <c r="HK5" i="3"/>
  <c r="HL5" i="3"/>
  <c r="HM5" i="3"/>
  <c r="HN5" i="3"/>
  <c r="HO5" i="3"/>
  <c r="HP5" i="3"/>
  <c r="HQ5" i="3"/>
  <c r="HR5" i="3"/>
  <c r="HS5" i="3"/>
  <c r="HT5" i="3"/>
  <c r="HU5" i="3"/>
  <c r="HV5" i="3"/>
  <c r="HW5" i="3"/>
  <c r="HX5" i="3"/>
  <c r="HY5" i="3"/>
  <c r="HZ5" i="3"/>
  <c r="IA5" i="3"/>
  <c r="IB5" i="3"/>
  <c r="IC5" i="3"/>
  <c r="ID5" i="3"/>
  <c r="IE5" i="3"/>
  <c r="IF5" i="3"/>
  <c r="IG5" i="3"/>
  <c r="IH5" i="3"/>
  <c r="II5" i="3"/>
  <c r="IJ5" i="3"/>
  <c r="IK5" i="3"/>
  <c r="IL5" i="3"/>
  <c r="IM5" i="3"/>
  <c r="IN5" i="3"/>
  <c r="IO5" i="3"/>
  <c r="IP5" i="3"/>
  <c r="IQ5" i="3"/>
  <c r="IR5" i="3"/>
  <c r="IS5" i="3"/>
  <c r="IT5" i="3"/>
  <c r="IU5" i="3"/>
  <c r="IV5" i="3"/>
  <c r="F6" i="3"/>
  <c r="G6" i="3"/>
  <c r="H6" i="3"/>
  <c r="I6" i="3"/>
  <c r="J6" i="3"/>
  <c r="K6" i="3"/>
  <c r="L6" i="3"/>
  <c r="M6" i="3"/>
  <c r="N6" i="3"/>
  <c r="O6" i="3"/>
  <c r="P6" i="3"/>
  <c r="Q6" i="3"/>
  <c r="R6" i="3"/>
  <c r="S6" i="3"/>
  <c r="T6" i="3"/>
  <c r="U6" i="3"/>
  <c r="V6" i="3"/>
  <c r="W6" i="3"/>
  <c r="X6" i="3"/>
  <c r="Y6" i="3"/>
  <c r="Z6" i="3"/>
  <c r="AA6" i="3"/>
  <c r="AB6" i="3"/>
  <c r="AC6" i="3"/>
  <c r="AD6" i="3"/>
  <c r="AE6" i="3"/>
  <c r="AF6" i="3"/>
  <c r="AG6" i="3"/>
  <c r="AH6" i="3"/>
  <c r="AI6" i="3"/>
  <c r="AJ6" i="3"/>
  <c r="AK6" i="3"/>
  <c r="AL6" i="3"/>
  <c r="AM6" i="3"/>
  <c r="AN6" i="3"/>
  <c r="AO6" i="3"/>
  <c r="AP6" i="3"/>
  <c r="AQ6" i="3"/>
  <c r="AR6" i="3"/>
  <c r="AS6" i="3"/>
  <c r="AT6" i="3"/>
  <c r="AU6" i="3"/>
  <c r="AV6" i="3"/>
  <c r="AW6" i="3"/>
  <c r="AX6" i="3"/>
  <c r="AY6" i="3"/>
  <c r="AZ6" i="3"/>
  <c r="BA6" i="3"/>
  <c r="BB6" i="3"/>
  <c r="BC6" i="3"/>
  <c r="BD6" i="3"/>
  <c r="BE6" i="3"/>
  <c r="BF6" i="3"/>
  <c r="BG6" i="3"/>
  <c r="BH6" i="3"/>
  <c r="BI6" i="3"/>
  <c r="BJ6" i="3"/>
  <c r="BK6" i="3"/>
  <c r="BL6" i="3"/>
  <c r="BM6" i="3"/>
  <c r="BN6" i="3"/>
  <c r="BO6" i="3"/>
  <c r="BP6" i="3"/>
  <c r="BQ6" i="3"/>
  <c r="BR6" i="3"/>
  <c r="BS6" i="3"/>
  <c r="BT6" i="3"/>
  <c r="BU6" i="3"/>
  <c r="BV6" i="3"/>
  <c r="BW6" i="3"/>
  <c r="BX6" i="3"/>
  <c r="BY6" i="3"/>
  <c r="BZ6" i="3"/>
  <c r="CA6" i="3"/>
  <c r="CB6" i="3"/>
  <c r="CC6" i="3"/>
  <c r="CD6" i="3"/>
  <c r="CE6" i="3"/>
  <c r="CF6" i="3"/>
  <c r="CG6" i="3"/>
  <c r="CH6" i="3"/>
  <c r="CI6" i="3"/>
  <c r="CJ6" i="3"/>
  <c r="CK6" i="3"/>
  <c r="CL6" i="3"/>
  <c r="CM6" i="3"/>
  <c r="CN6" i="3"/>
  <c r="CO6" i="3"/>
  <c r="CP6" i="3"/>
  <c r="CQ6" i="3"/>
  <c r="CR6" i="3"/>
  <c r="CS6" i="3"/>
  <c r="CT6" i="3"/>
  <c r="CU6" i="3"/>
  <c r="CV6" i="3"/>
  <c r="CW6" i="3"/>
  <c r="CX6" i="3"/>
  <c r="CY6" i="3"/>
  <c r="CZ6" i="3"/>
  <c r="DA6" i="3"/>
  <c r="DB6" i="3"/>
  <c r="DC6" i="3"/>
  <c r="DD6" i="3"/>
  <c r="DE6" i="3"/>
  <c r="DF6" i="3"/>
  <c r="DG6" i="3"/>
  <c r="DH6" i="3"/>
  <c r="DI6" i="3"/>
  <c r="DJ6" i="3"/>
  <c r="DK6" i="3"/>
  <c r="DL6" i="3"/>
  <c r="DM6" i="3"/>
  <c r="DN6" i="3"/>
  <c r="DO6" i="3"/>
  <c r="DP6" i="3"/>
  <c r="DQ6" i="3"/>
  <c r="DR6" i="3"/>
  <c r="DS6" i="3"/>
  <c r="DT6" i="3"/>
  <c r="DU6" i="3"/>
  <c r="DV6" i="3"/>
  <c r="DW6" i="3"/>
  <c r="DX6" i="3"/>
  <c r="DY6" i="3"/>
  <c r="DZ6" i="3"/>
  <c r="EA6" i="3"/>
  <c r="EB6" i="3"/>
  <c r="EC6" i="3"/>
  <c r="ED6" i="3"/>
  <c r="EE6" i="3"/>
  <c r="EF6" i="3"/>
  <c r="EG6" i="3"/>
  <c r="EH6" i="3"/>
  <c r="EI6" i="3"/>
  <c r="EJ6" i="3"/>
  <c r="EK6" i="3"/>
  <c r="EL6" i="3"/>
  <c r="EM6" i="3"/>
  <c r="EN6" i="3"/>
  <c r="EO6" i="3"/>
  <c r="EP6" i="3"/>
  <c r="EQ6" i="3"/>
  <c r="ER6" i="3"/>
  <c r="ES6" i="3"/>
  <c r="ET6" i="3"/>
  <c r="EU6" i="3"/>
  <c r="EV6" i="3"/>
  <c r="EW6" i="3"/>
  <c r="EX6" i="3"/>
  <c r="EY6" i="3"/>
  <c r="EZ6" i="3"/>
  <c r="FA6" i="3"/>
  <c r="FB6" i="3"/>
  <c r="FC6" i="3"/>
  <c r="FD6" i="3"/>
  <c r="FE6" i="3"/>
  <c r="FF6" i="3"/>
  <c r="FG6" i="3"/>
  <c r="FH6" i="3"/>
  <c r="FI6" i="3"/>
  <c r="FJ6" i="3"/>
  <c r="FK6" i="3"/>
  <c r="FL6" i="3"/>
  <c r="FM6" i="3"/>
  <c r="FN6" i="3"/>
  <c r="FO6" i="3"/>
  <c r="FP6" i="3"/>
  <c r="FQ6" i="3"/>
  <c r="FR6" i="3"/>
  <c r="FS6" i="3"/>
  <c r="FT6" i="3"/>
  <c r="FU6" i="3"/>
  <c r="FV6" i="3"/>
  <c r="FW6" i="3"/>
  <c r="FX6" i="3"/>
  <c r="FY6" i="3"/>
  <c r="FZ6" i="3"/>
  <c r="GA6" i="3"/>
  <c r="GB6" i="3"/>
  <c r="GC6" i="3"/>
  <c r="GD6" i="3"/>
  <c r="GE6" i="3"/>
  <c r="GF6" i="3"/>
  <c r="GG6" i="3"/>
  <c r="GH6" i="3"/>
  <c r="GI6" i="3"/>
  <c r="GJ6" i="3"/>
  <c r="GK6" i="3"/>
  <c r="GL6" i="3"/>
  <c r="GM6" i="3"/>
  <c r="GN6" i="3"/>
  <c r="GO6" i="3"/>
  <c r="GP6" i="3"/>
  <c r="GQ6" i="3"/>
  <c r="GR6" i="3"/>
  <c r="GS6" i="3"/>
  <c r="GT6" i="3"/>
  <c r="GU6" i="3"/>
  <c r="GV6" i="3"/>
  <c r="GW6" i="3"/>
  <c r="GX6" i="3"/>
  <c r="GY6" i="3"/>
  <c r="GZ6" i="3"/>
  <c r="HA6" i="3"/>
  <c r="HB6" i="3"/>
  <c r="HC6" i="3"/>
  <c r="HD6" i="3"/>
  <c r="HE6" i="3"/>
  <c r="HF6" i="3"/>
  <c r="HG6" i="3"/>
  <c r="HH6" i="3"/>
  <c r="HI6" i="3"/>
  <c r="HJ6" i="3"/>
  <c r="HK6" i="3"/>
  <c r="HL6" i="3"/>
  <c r="HM6" i="3"/>
  <c r="HN6" i="3"/>
  <c r="HO6" i="3"/>
  <c r="HP6" i="3"/>
  <c r="HQ6" i="3"/>
  <c r="HR6" i="3"/>
  <c r="HS6" i="3"/>
  <c r="HT6" i="3"/>
  <c r="HU6" i="3"/>
  <c r="HV6" i="3"/>
  <c r="HW6" i="3"/>
  <c r="HX6" i="3"/>
  <c r="HY6" i="3"/>
  <c r="HZ6" i="3"/>
  <c r="IA6" i="3"/>
  <c r="IB6" i="3"/>
  <c r="IC6" i="3"/>
  <c r="ID6" i="3"/>
  <c r="IE6" i="3"/>
  <c r="IF6" i="3"/>
  <c r="IG6" i="3"/>
  <c r="IH6" i="3"/>
  <c r="II6" i="3"/>
  <c r="IJ6" i="3"/>
  <c r="IK6" i="3"/>
  <c r="IL6" i="3"/>
  <c r="IM6" i="3"/>
  <c r="IN6" i="3"/>
  <c r="IO6" i="3"/>
  <c r="IP6" i="3"/>
  <c r="IQ6" i="3"/>
  <c r="IR6" i="3"/>
  <c r="IS6" i="3"/>
  <c r="IT6" i="3"/>
  <c r="IU6" i="3"/>
  <c r="IV6" i="3"/>
  <c r="F7" i="3"/>
  <c r="G7" i="3"/>
  <c r="H7" i="3"/>
  <c r="I7" i="3"/>
  <c r="J7" i="3"/>
  <c r="K7" i="3"/>
  <c r="L7" i="3"/>
  <c r="M7" i="3"/>
  <c r="N7" i="3"/>
  <c r="O7" i="3"/>
  <c r="P7" i="3"/>
  <c r="Q7" i="3"/>
  <c r="R7" i="3"/>
  <c r="S7" i="3"/>
  <c r="T7" i="3"/>
  <c r="U7" i="3"/>
  <c r="V7" i="3"/>
  <c r="W7" i="3"/>
  <c r="X7" i="3"/>
  <c r="Y7" i="3"/>
  <c r="Z7" i="3"/>
  <c r="AA7" i="3"/>
  <c r="AB7" i="3"/>
  <c r="AC7" i="3"/>
  <c r="AD7" i="3"/>
  <c r="AE7" i="3"/>
  <c r="AF7" i="3"/>
  <c r="AG7" i="3"/>
  <c r="AH7" i="3"/>
  <c r="AI7" i="3"/>
  <c r="AJ7" i="3"/>
  <c r="AK7" i="3"/>
  <c r="AL7" i="3"/>
  <c r="AM7" i="3"/>
  <c r="AN7" i="3"/>
  <c r="AO7" i="3"/>
  <c r="AP7" i="3"/>
  <c r="AQ7" i="3"/>
  <c r="AR7" i="3"/>
  <c r="AS7" i="3"/>
  <c r="AT7" i="3"/>
  <c r="AU7" i="3"/>
  <c r="AV7" i="3"/>
  <c r="AW7" i="3"/>
  <c r="AX7" i="3"/>
  <c r="AY7" i="3"/>
  <c r="AZ7" i="3"/>
  <c r="BA7" i="3"/>
  <c r="BB7" i="3"/>
  <c r="BC7" i="3"/>
  <c r="BD7" i="3"/>
  <c r="BE7" i="3"/>
  <c r="BF7" i="3"/>
  <c r="BG7" i="3"/>
  <c r="BH7" i="3"/>
  <c r="BI7" i="3"/>
  <c r="BJ7" i="3"/>
  <c r="BK7" i="3"/>
  <c r="BL7" i="3"/>
  <c r="BM7" i="3"/>
  <c r="BN7" i="3"/>
  <c r="BO7" i="3"/>
  <c r="BP7" i="3"/>
  <c r="BQ7" i="3"/>
  <c r="BR7" i="3"/>
  <c r="BS7" i="3"/>
  <c r="BT7" i="3"/>
  <c r="BU7" i="3"/>
  <c r="BV7" i="3"/>
  <c r="BW7" i="3"/>
  <c r="BX7" i="3"/>
  <c r="BY7" i="3"/>
  <c r="BZ7" i="3"/>
  <c r="CA7" i="3"/>
  <c r="CB7" i="3"/>
  <c r="CC7" i="3"/>
  <c r="CD7" i="3"/>
  <c r="CE7" i="3"/>
  <c r="CF7" i="3"/>
  <c r="CG7" i="3"/>
  <c r="CH7" i="3"/>
  <c r="CI7" i="3"/>
  <c r="CJ7" i="3"/>
  <c r="CK7" i="3"/>
  <c r="CL7" i="3"/>
  <c r="CM7" i="3"/>
  <c r="CN7" i="3"/>
  <c r="CO7" i="3"/>
  <c r="CP7" i="3"/>
  <c r="CQ7" i="3"/>
  <c r="CR7" i="3"/>
  <c r="CS7" i="3"/>
  <c r="CT7" i="3"/>
  <c r="CU7" i="3"/>
  <c r="CV7" i="3"/>
  <c r="CW7" i="3"/>
  <c r="CX7" i="3"/>
  <c r="CY7" i="3"/>
  <c r="CZ7" i="3"/>
  <c r="DA7" i="3"/>
  <c r="DB7" i="3"/>
  <c r="DC7" i="3"/>
  <c r="DD7" i="3"/>
  <c r="DE7" i="3"/>
  <c r="DF7" i="3"/>
  <c r="DG7" i="3"/>
  <c r="DH7" i="3"/>
  <c r="DI7" i="3"/>
  <c r="DJ7" i="3"/>
  <c r="DK7" i="3"/>
  <c r="DL7" i="3"/>
  <c r="DM7" i="3"/>
  <c r="DN7" i="3"/>
  <c r="DO7" i="3"/>
  <c r="DP7" i="3"/>
  <c r="DQ7" i="3"/>
  <c r="DR7" i="3"/>
  <c r="DS7" i="3"/>
  <c r="DT7" i="3"/>
  <c r="DU7" i="3"/>
  <c r="DV7" i="3"/>
  <c r="DW7" i="3"/>
  <c r="DX7" i="3"/>
  <c r="DY7" i="3"/>
  <c r="DZ7" i="3"/>
  <c r="EA7" i="3"/>
  <c r="EB7" i="3"/>
  <c r="EC7" i="3"/>
  <c r="ED7" i="3"/>
  <c r="EE7" i="3"/>
  <c r="EF7" i="3"/>
  <c r="EG7" i="3"/>
  <c r="EH7" i="3"/>
  <c r="EI7" i="3"/>
  <c r="EJ7" i="3"/>
  <c r="EK7" i="3"/>
  <c r="EL7" i="3"/>
  <c r="EM7" i="3"/>
  <c r="EN7" i="3"/>
  <c r="EO7" i="3"/>
  <c r="EP7" i="3"/>
  <c r="EQ7" i="3"/>
  <c r="ER7" i="3"/>
  <c r="ES7" i="3"/>
  <c r="ET7" i="3"/>
  <c r="EU7" i="3"/>
  <c r="EV7" i="3"/>
  <c r="EW7" i="3"/>
  <c r="EX7" i="3"/>
  <c r="EY7" i="3"/>
  <c r="EZ7" i="3"/>
  <c r="FA7" i="3"/>
  <c r="FB7" i="3"/>
  <c r="FC7" i="3"/>
  <c r="FD7" i="3"/>
  <c r="FE7" i="3"/>
  <c r="FF7" i="3"/>
  <c r="FG7" i="3"/>
  <c r="FH7" i="3"/>
  <c r="FI7" i="3"/>
  <c r="FJ7" i="3"/>
  <c r="FK7" i="3"/>
  <c r="FL7" i="3"/>
  <c r="FM7" i="3"/>
  <c r="FN7" i="3"/>
  <c r="FO7" i="3"/>
  <c r="FP7" i="3"/>
  <c r="FQ7" i="3"/>
  <c r="FR7" i="3"/>
  <c r="FS7" i="3"/>
  <c r="FT7" i="3"/>
  <c r="FU7" i="3"/>
  <c r="FV7" i="3"/>
  <c r="FW7" i="3"/>
  <c r="FX7" i="3"/>
  <c r="FY7" i="3"/>
  <c r="FZ7" i="3"/>
  <c r="GA7" i="3"/>
  <c r="GB7" i="3"/>
  <c r="GC7" i="3"/>
  <c r="GD7" i="3"/>
  <c r="GE7" i="3"/>
  <c r="GF7" i="3"/>
  <c r="GG7" i="3"/>
  <c r="GH7" i="3"/>
  <c r="GI7" i="3"/>
  <c r="GJ7" i="3"/>
  <c r="GK7" i="3"/>
  <c r="GL7" i="3"/>
  <c r="GM7" i="3"/>
  <c r="GN7" i="3"/>
  <c r="GO7" i="3"/>
  <c r="GP7" i="3"/>
  <c r="GQ7" i="3"/>
  <c r="GR7" i="3"/>
  <c r="GS7" i="3"/>
  <c r="GT7" i="3"/>
  <c r="GU7" i="3"/>
  <c r="GV7" i="3"/>
  <c r="GW7" i="3"/>
  <c r="GX7" i="3"/>
  <c r="GY7" i="3"/>
  <c r="GZ7" i="3"/>
  <c r="HA7" i="3"/>
  <c r="HB7" i="3"/>
  <c r="HC7" i="3"/>
  <c r="HD7" i="3"/>
  <c r="HE7" i="3"/>
  <c r="HF7" i="3"/>
  <c r="HG7" i="3"/>
  <c r="HH7" i="3"/>
  <c r="HI7" i="3"/>
  <c r="HJ7" i="3"/>
  <c r="HK7" i="3"/>
  <c r="HL7" i="3"/>
  <c r="HM7" i="3"/>
  <c r="HN7" i="3"/>
  <c r="HO7" i="3"/>
  <c r="HP7" i="3"/>
  <c r="HQ7" i="3"/>
  <c r="HR7" i="3"/>
  <c r="HS7" i="3"/>
  <c r="HT7" i="3"/>
  <c r="HU7" i="3"/>
  <c r="HV7" i="3"/>
  <c r="HW7" i="3"/>
  <c r="HX7" i="3"/>
  <c r="HY7" i="3"/>
  <c r="HZ7" i="3"/>
  <c r="IA7" i="3"/>
  <c r="IB7" i="3"/>
  <c r="IC7" i="3"/>
  <c r="ID7" i="3"/>
  <c r="IE7" i="3"/>
  <c r="IF7" i="3"/>
  <c r="IG7" i="3"/>
  <c r="IH7" i="3"/>
  <c r="II7" i="3"/>
  <c r="IJ7" i="3"/>
  <c r="IK7" i="3"/>
  <c r="IL7" i="3"/>
  <c r="IM7" i="3"/>
  <c r="IN7" i="3"/>
  <c r="IO7" i="3"/>
  <c r="IP7" i="3"/>
  <c r="IQ7" i="3"/>
  <c r="IR7" i="3"/>
  <c r="IS7" i="3"/>
  <c r="IT7" i="3"/>
  <c r="IU7" i="3"/>
  <c r="IV7"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M8" i="3"/>
  <c r="AN8" i="3"/>
  <c r="AO8" i="3"/>
  <c r="AP8" i="3"/>
  <c r="AQ8" i="3"/>
  <c r="AR8" i="3"/>
  <c r="AS8" i="3"/>
  <c r="AT8" i="3"/>
  <c r="AU8" i="3"/>
  <c r="AV8" i="3"/>
  <c r="AW8" i="3"/>
  <c r="AX8" i="3"/>
  <c r="AY8" i="3"/>
  <c r="AZ8" i="3"/>
  <c r="BA8" i="3"/>
  <c r="BB8" i="3"/>
  <c r="BC8" i="3"/>
  <c r="BD8" i="3"/>
  <c r="BE8" i="3"/>
  <c r="BF8" i="3"/>
  <c r="BG8" i="3"/>
  <c r="BH8" i="3"/>
  <c r="BI8" i="3"/>
  <c r="BJ8" i="3"/>
  <c r="BK8" i="3"/>
  <c r="BL8" i="3"/>
  <c r="BM8" i="3"/>
  <c r="BN8" i="3"/>
  <c r="BO8" i="3"/>
  <c r="BP8" i="3"/>
  <c r="BQ8" i="3"/>
  <c r="BR8" i="3"/>
  <c r="BS8" i="3"/>
  <c r="BT8" i="3"/>
  <c r="BU8" i="3"/>
  <c r="BV8" i="3"/>
  <c r="BW8" i="3"/>
  <c r="BX8" i="3"/>
  <c r="BY8" i="3"/>
  <c r="BZ8" i="3"/>
  <c r="CA8" i="3"/>
  <c r="CB8" i="3"/>
  <c r="CC8" i="3"/>
  <c r="CD8" i="3"/>
  <c r="CE8" i="3"/>
  <c r="CF8" i="3"/>
  <c r="CG8" i="3"/>
  <c r="CH8" i="3"/>
  <c r="CI8" i="3"/>
  <c r="CJ8" i="3"/>
  <c r="CK8" i="3"/>
  <c r="CL8" i="3"/>
  <c r="CM8" i="3"/>
  <c r="CN8" i="3"/>
  <c r="CO8" i="3"/>
  <c r="CP8" i="3"/>
  <c r="CQ8" i="3"/>
  <c r="CR8" i="3"/>
  <c r="CS8" i="3"/>
  <c r="CT8" i="3"/>
  <c r="CU8" i="3"/>
  <c r="CV8" i="3"/>
  <c r="CW8" i="3"/>
  <c r="CX8" i="3"/>
  <c r="CY8" i="3"/>
  <c r="CZ8" i="3"/>
  <c r="DA8" i="3"/>
  <c r="DB8" i="3"/>
  <c r="DC8" i="3"/>
  <c r="DD8" i="3"/>
  <c r="DE8" i="3"/>
  <c r="DF8" i="3"/>
  <c r="DG8" i="3"/>
  <c r="DH8" i="3"/>
  <c r="DI8" i="3"/>
  <c r="DJ8" i="3"/>
  <c r="DK8" i="3"/>
  <c r="DL8" i="3"/>
  <c r="DM8" i="3"/>
  <c r="DN8" i="3"/>
  <c r="DO8" i="3"/>
  <c r="DP8" i="3"/>
  <c r="DQ8" i="3"/>
  <c r="DR8" i="3"/>
  <c r="DS8" i="3"/>
  <c r="DT8" i="3"/>
  <c r="DU8" i="3"/>
  <c r="DV8" i="3"/>
  <c r="DW8" i="3"/>
  <c r="DX8" i="3"/>
  <c r="DY8" i="3"/>
  <c r="DZ8" i="3"/>
  <c r="EA8" i="3"/>
  <c r="EB8" i="3"/>
  <c r="EC8" i="3"/>
  <c r="ED8" i="3"/>
  <c r="EE8" i="3"/>
  <c r="EF8" i="3"/>
  <c r="EG8" i="3"/>
  <c r="EH8" i="3"/>
  <c r="EI8" i="3"/>
  <c r="EJ8" i="3"/>
  <c r="EK8" i="3"/>
  <c r="EL8" i="3"/>
  <c r="EM8" i="3"/>
  <c r="EN8" i="3"/>
  <c r="EO8" i="3"/>
  <c r="EP8" i="3"/>
  <c r="EQ8" i="3"/>
  <c r="ER8" i="3"/>
  <c r="ES8" i="3"/>
  <c r="ET8" i="3"/>
  <c r="EU8" i="3"/>
  <c r="EV8" i="3"/>
  <c r="EW8" i="3"/>
  <c r="EX8" i="3"/>
  <c r="EY8" i="3"/>
  <c r="EZ8" i="3"/>
  <c r="FA8" i="3"/>
  <c r="FB8" i="3"/>
  <c r="FC8" i="3"/>
  <c r="FD8" i="3"/>
  <c r="FE8" i="3"/>
  <c r="FF8" i="3"/>
  <c r="FG8" i="3"/>
  <c r="FH8" i="3"/>
  <c r="FI8" i="3"/>
  <c r="FJ8" i="3"/>
  <c r="FK8" i="3"/>
  <c r="FL8" i="3"/>
  <c r="FM8" i="3"/>
  <c r="FN8" i="3"/>
  <c r="FO8" i="3"/>
  <c r="FP8" i="3"/>
  <c r="FQ8" i="3"/>
  <c r="FR8" i="3"/>
  <c r="FS8" i="3"/>
  <c r="FT8" i="3"/>
  <c r="FU8" i="3"/>
  <c r="FV8" i="3"/>
  <c r="FW8" i="3"/>
  <c r="FX8" i="3"/>
  <c r="FY8" i="3"/>
  <c r="FZ8" i="3"/>
  <c r="GA8" i="3"/>
  <c r="GB8" i="3"/>
  <c r="GC8" i="3"/>
  <c r="GD8" i="3"/>
  <c r="GE8" i="3"/>
  <c r="GF8" i="3"/>
  <c r="GG8" i="3"/>
  <c r="GH8" i="3"/>
  <c r="GI8" i="3"/>
  <c r="GJ8" i="3"/>
  <c r="GK8" i="3"/>
  <c r="GL8" i="3"/>
  <c r="GM8" i="3"/>
  <c r="GN8" i="3"/>
  <c r="GO8" i="3"/>
  <c r="GP8" i="3"/>
  <c r="GQ8" i="3"/>
  <c r="GR8" i="3"/>
  <c r="GS8" i="3"/>
  <c r="GT8" i="3"/>
  <c r="GU8" i="3"/>
  <c r="GV8" i="3"/>
  <c r="GW8" i="3"/>
  <c r="GX8" i="3"/>
  <c r="GY8" i="3"/>
  <c r="GZ8" i="3"/>
  <c r="HA8" i="3"/>
  <c r="HB8" i="3"/>
  <c r="HC8" i="3"/>
  <c r="HD8" i="3"/>
  <c r="HE8" i="3"/>
  <c r="HF8" i="3"/>
  <c r="HG8" i="3"/>
  <c r="HH8" i="3"/>
  <c r="HI8" i="3"/>
  <c r="HJ8" i="3"/>
  <c r="HK8" i="3"/>
  <c r="HL8" i="3"/>
  <c r="HM8" i="3"/>
  <c r="HN8" i="3"/>
  <c r="HO8" i="3"/>
  <c r="HP8" i="3"/>
  <c r="HQ8" i="3"/>
  <c r="HR8" i="3"/>
  <c r="HS8" i="3"/>
  <c r="HT8" i="3"/>
  <c r="HU8" i="3"/>
  <c r="HV8" i="3"/>
  <c r="HW8" i="3"/>
  <c r="HX8" i="3"/>
  <c r="HY8" i="3"/>
  <c r="HZ8" i="3"/>
  <c r="IA8" i="3"/>
  <c r="IB8" i="3"/>
  <c r="IC8" i="3"/>
  <c r="ID8" i="3"/>
  <c r="IE8" i="3"/>
  <c r="IF8" i="3"/>
  <c r="IG8" i="3"/>
  <c r="IH8" i="3"/>
  <c r="II8" i="3"/>
  <c r="IJ8" i="3"/>
  <c r="IK8" i="3"/>
  <c r="IL8" i="3"/>
  <c r="IM8" i="3"/>
  <c r="IN8" i="3"/>
  <c r="IO8" i="3"/>
  <c r="IP8" i="3"/>
  <c r="IQ8" i="3"/>
  <c r="IR8" i="3"/>
  <c r="IS8" i="3"/>
  <c r="IT8" i="3"/>
  <c r="IU8" i="3"/>
  <c r="IV8" i="3"/>
  <c r="F9" i="3"/>
  <c r="G9" i="3"/>
  <c r="H9" i="3"/>
  <c r="I9" i="3"/>
  <c r="J9" i="3"/>
  <c r="K9" i="3"/>
  <c r="L9" i="3"/>
  <c r="M9" i="3"/>
  <c r="N9" i="3"/>
  <c r="O9" i="3"/>
  <c r="P9" i="3"/>
  <c r="Q9" i="3"/>
  <c r="R9" i="3"/>
  <c r="S9" i="3"/>
  <c r="T9" i="3"/>
  <c r="U9" i="3"/>
  <c r="V9" i="3"/>
  <c r="W9" i="3"/>
  <c r="X9" i="3"/>
  <c r="Y9" i="3"/>
  <c r="Z9" i="3"/>
  <c r="AA9" i="3"/>
  <c r="AB9" i="3"/>
  <c r="AC9" i="3"/>
  <c r="AD9" i="3"/>
  <c r="AE9" i="3"/>
  <c r="AF9" i="3"/>
  <c r="AG9" i="3"/>
  <c r="AH9" i="3"/>
  <c r="AI9" i="3"/>
  <c r="AJ9" i="3"/>
  <c r="AK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M9" i="3"/>
  <c r="CN9" i="3"/>
  <c r="CO9" i="3"/>
  <c r="CP9" i="3"/>
  <c r="CQ9" i="3"/>
  <c r="CR9" i="3"/>
  <c r="CS9" i="3"/>
  <c r="CT9" i="3"/>
  <c r="CU9" i="3"/>
  <c r="CV9" i="3"/>
  <c r="CW9" i="3"/>
  <c r="CX9" i="3"/>
  <c r="CY9" i="3"/>
  <c r="CZ9" i="3"/>
  <c r="DA9" i="3"/>
  <c r="DB9" i="3"/>
  <c r="DC9" i="3"/>
  <c r="DD9" i="3"/>
  <c r="DE9" i="3"/>
  <c r="DF9" i="3"/>
  <c r="DG9" i="3"/>
  <c r="DH9" i="3"/>
  <c r="DI9" i="3"/>
  <c r="DJ9" i="3"/>
  <c r="DK9" i="3"/>
  <c r="DL9" i="3"/>
  <c r="DM9" i="3"/>
  <c r="DN9" i="3"/>
  <c r="DO9" i="3"/>
  <c r="DP9" i="3"/>
  <c r="DQ9" i="3"/>
  <c r="DR9" i="3"/>
  <c r="DS9" i="3"/>
  <c r="DT9" i="3"/>
  <c r="DU9" i="3"/>
  <c r="DV9" i="3"/>
  <c r="DW9" i="3"/>
  <c r="DX9" i="3"/>
  <c r="DY9" i="3"/>
  <c r="DZ9" i="3"/>
  <c r="EA9" i="3"/>
  <c r="EB9" i="3"/>
  <c r="EC9" i="3"/>
  <c r="ED9" i="3"/>
  <c r="EE9" i="3"/>
  <c r="EF9" i="3"/>
  <c r="EG9" i="3"/>
  <c r="EH9" i="3"/>
  <c r="EI9" i="3"/>
  <c r="EJ9" i="3"/>
  <c r="EK9" i="3"/>
  <c r="EL9" i="3"/>
  <c r="EM9" i="3"/>
  <c r="EN9" i="3"/>
  <c r="EO9" i="3"/>
  <c r="EP9" i="3"/>
  <c r="EQ9" i="3"/>
  <c r="ER9" i="3"/>
  <c r="ES9" i="3"/>
  <c r="ET9" i="3"/>
  <c r="EU9" i="3"/>
  <c r="EV9" i="3"/>
  <c r="EW9" i="3"/>
  <c r="EX9" i="3"/>
  <c r="EY9" i="3"/>
  <c r="EZ9" i="3"/>
  <c r="FA9" i="3"/>
  <c r="FB9" i="3"/>
  <c r="FC9" i="3"/>
  <c r="FD9" i="3"/>
  <c r="FE9" i="3"/>
  <c r="FF9" i="3"/>
  <c r="FG9" i="3"/>
  <c r="FH9" i="3"/>
  <c r="FI9" i="3"/>
  <c r="FJ9" i="3"/>
  <c r="FK9" i="3"/>
  <c r="FL9" i="3"/>
  <c r="FM9" i="3"/>
  <c r="FN9" i="3"/>
  <c r="FO9" i="3"/>
  <c r="FP9" i="3"/>
  <c r="FQ9" i="3"/>
  <c r="FR9" i="3"/>
  <c r="FS9" i="3"/>
  <c r="FT9" i="3"/>
  <c r="FU9" i="3"/>
  <c r="FV9" i="3"/>
  <c r="FW9" i="3"/>
  <c r="FX9" i="3"/>
  <c r="FY9" i="3"/>
  <c r="FZ9" i="3"/>
  <c r="GA9" i="3"/>
  <c r="GB9" i="3"/>
  <c r="GC9" i="3"/>
  <c r="GD9" i="3"/>
  <c r="GE9" i="3"/>
  <c r="GF9" i="3"/>
  <c r="GG9" i="3"/>
  <c r="GH9" i="3"/>
  <c r="GI9" i="3"/>
  <c r="GJ9" i="3"/>
  <c r="GK9" i="3"/>
  <c r="GL9" i="3"/>
  <c r="GM9" i="3"/>
  <c r="GN9" i="3"/>
  <c r="GO9" i="3"/>
  <c r="GP9" i="3"/>
  <c r="GQ9" i="3"/>
  <c r="GR9" i="3"/>
  <c r="GS9" i="3"/>
  <c r="GT9" i="3"/>
  <c r="GU9" i="3"/>
  <c r="GV9" i="3"/>
  <c r="GW9" i="3"/>
  <c r="GX9" i="3"/>
  <c r="GY9" i="3"/>
  <c r="GZ9" i="3"/>
  <c r="HA9" i="3"/>
  <c r="HB9" i="3"/>
  <c r="HC9" i="3"/>
  <c r="HD9" i="3"/>
  <c r="HE9" i="3"/>
  <c r="HF9" i="3"/>
  <c r="HG9" i="3"/>
  <c r="HH9" i="3"/>
  <c r="HI9" i="3"/>
  <c r="HJ9" i="3"/>
  <c r="HK9" i="3"/>
  <c r="HL9" i="3"/>
  <c r="HM9" i="3"/>
  <c r="HN9" i="3"/>
  <c r="HO9" i="3"/>
  <c r="HP9" i="3"/>
  <c r="HQ9" i="3"/>
  <c r="HR9" i="3"/>
  <c r="HS9" i="3"/>
  <c r="HT9" i="3"/>
  <c r="HU9" i="3"/>
  <c r="HV9" i="3"/>
  <c r="HW9" i="3"/>
  <c r="HX9" i="3"/>
  <c r="HY9" i="3"/>
  <c r="HZ9" i="3"/>
  <c r="IA9" i="3"/>
  <c r="IB9" i="3"/>
  <c r="IC9" i="3"/>
  <c r="ID9" i="3"/>
  <c r="IE9" i="3"/>
  <c r="IF9" i="3"/>
  <c r="IG9" i="3"/>
  <c r="IH9" i="3"/>
  <c r="II9" i="3"/>
  <c r="IJ9" i="3"/>
  <c r="IK9" i="3"/>
  <c r="IL9" i="3"/>
  <c r="IM9" i="3"/>
  <c r="IN9" i="3"/>
  <c r="IO9" i="3"/>
  <c r="IP9" i="3"/>
  <c r="IQ9" i="3"/>
  <c r="IR9" i="3"/>
  <c r="IS9" i="3"/>
  <c r="IT9" i="3"/>
  <c r="IU9" i="3"/>
  <c r="IV9" i="3"/>
  <c r="F10" i="3"/>
  <c r="G10" i="3"/>
  <c r="H10" i="3"/>
  <c r="I10" i="3"/>
  <c r="J10" i="3"/>
  <c r="K10" i="3"/>
  <c r="L10" i="3"/>
  <c r="M10" i="3"/>
  <c r="N10" i="3"/>
  <c r="O10" i="3"/>
  <c r="P10" i="3"/>
  <c r="Q10" i="3"/>
  <c r="R10" i="3"/>
  <c r="S10" i="3"/>
  <c r="T10" i="3"/>
  <c r="U10" i="3"/>
  <c r="V10" i="3"/>
  <c r="W10" i="3"/>
  <c r="X10" i="3"/>
  <c r="Y10" i="3"/>
  <c r="Z10" i="3"/>
  <c r="AA10" i="3"/>
  <c r="AB10" i="3"/>
  <c r="AC10" i="3"/>
  <c r="AD10" i="3"/>
  <c r="AE10" i="3"/>
  <c r="AF10" i="3"/>
  <c r="AG10" i="3"/>
  <c r="AH10" i="3"/>
  <c r="AI10" i="3"/>
  <c r="AJ10" i="3"/>
  <c r="AK10" i="3"/>
  <c r="AL10" i="3"/>
  <c r="AM10" i="3"/>
  <c r="AN10" i="3"/>
  <c r="AO10" i="3"/>
  <c r="AP10" i="3"/>
  <c r="AQ10" i="3"/>
  <c r="AR10" i="3"/>
  <c r="AS10" i="3"/>
  <c r="AT10" i="3"/>
  <c r="AU10" i="3"/>
  <c r="AV10" i="3"/>
  <c r="AW10" i="3"/>
  <c r="AX10" i="3"/>
  <c r="AY10" i="3"/>
  <c r="AZ10" i="3"/>
  <c r="BA10" i="3"/>
  <c r="BB10" i="3"/>
  <c r="BC10" i="3"/>
  <c r="BD10" i="3"/>
  <c r="BE10" i="3"/>
  <c r="BF10" i="3"/>
  <c r="BG10" i="3"/>
  <c r="BH10" i="3"/>
  <c r="BI10" i="3"/>
  <c r="BJ10" i="3"/>
  <c r="BK10" i="3"/>
  <c r="BL10" i="3"/>
  <c r="BM10" i="3"/>
  <c r="BN10" i="3"/>
  <c r="BO10" i="3"/>
  <c r="BP10" i="3"/>
  <c r="BQ10" i="3"/>
  <c r="BR10" i="3"/>
  <c r="BS10" i="3"/>
  <c r="BT10" i="3"/>
  <c r="BU10" i="3"/>
  <c r="BV10" i="3"/>
  <c r="BW10" i="3"/>
  <c r="BX10" i="3"/>
  <c r="BY10" i="3"/>
  <c r="BZ10" i="3"/>
  <c r="CA10" i="3"/>
  <c r="CB10" i="3"/>
  <c r="CC10" i="3"/>
  <c r="CD10" i="3"/>
  <c r="CE10" i="3"/>
  <c r="CF10" i="3"/>
  <c r="CG10" i="3"/>
  <c r="CH10" i="3"/>
  <c r="CI10" i="3"/>
  <c r="CJ10" i="3"/>
  <c r="CK10" i="3"/>
  <c r="CL10" i="3"/>
  <c r="CM10" i="3"/>
  <c r="CN10" i="3"/>
  <c r="CO10" i="3"/>
  <c r="CP10" i="3"/>
  <c r="CQ10" i="3"/>
  <c r="CR10" i="3"/>
  <c r="CS10" i="3"/>
  <c r="CT10" i="3"/>
  <c r="CU10" i="3"/>
  <c r="CV10" i="3"/>
  <c r="CW10" i="3"/>
  <c r="CX10" i="3"/>
  <c r="CY10" i="3"/>
  <c r="CZ10" i="3"/>
  <c r="DA10" i="3"/>
  <c r="DB10" i="3"/>
  <c r="DC10" i="3"/>
  <c r="DD10" i="3"/>
  <c r="DE10" i="3"/>
  <c r="DF10" i="3"/>
  <c r="DG10" i="3"/>
  <c r="DH10" i="3"/>
  <c r="DI10" i="3"/>
  <c r="DJ10" i="3"/>
  <c r="DK10" i="3"/>
  <c r="DL10" i="3"/>
  <c r="DM10" i="3"/>
  <c r="DN10" i="3"/>
  <c r="DO10" i="3"/>
  <c r="DP10" i="3"/>
  <c r="DQ10" i="3"/>
  <c r="DR10" i="3"/>
  <c r="DS10" i="3"/>
  <c r="DT10" i="3"/>
  <c r="DU10" i="3"/>
  <c r="DV10" i="3"/>
  <c r="DW10" i="3"/>
  <c r="DX10" i="3"/>
  <c r="DY10" i="3"/>
  <c r="DZ10" i="3"/>
  <c r="EA10" i="3"/>
  <c r="EB10" i="3"/>
  <c r="EC10" i="3"/>
  <c r="ED10" i="3"/>
  <c r="EE10" i="3"/>
  <c r="EF10" i="3"/>
  <c r="EG10" i="3"/>
  <c r="EH10" i="3"/>
  <c r="EI10" i="3"/>
  <c r="EJ10" i="3"/>
  <c r="EK10" i="3"/>
  <c r="EL10" i="3"/>
  <c r="EM10" i="3"/>
  <c r="EN10" i="3"/>
  <c r="EO10" i="3"/>
  <c r="EP10" i="3"/>
  <c r="EQ10" i="3"/>
  <c r="ER10" i="3"/>
  <c r="ES10" i="3"/>
  <c r="ET10" i="3"/>
  <c r="EU10" i="3"/>
  <c r="EV10" i="3"/>
  <c r="EW10" i="3"/>
  <c r="EX10" i="3"/>
  <c r="EY10" i="3"/>
  <c r="EZ10" i="3"/>
  <c r="FA10" i="3"/>
  <c r="FB10" i="3"/>
  <c r="FC10" i="3"/>
  <c r="FD10" i="3"/>
  <c r="FE10" i="3"/>
  <c r="FF10" i="3"/>
  <c r="FG10" i="3"/>
  <c r="FH10" i="3"/>
  <c r="FI10" i="3"/>
  <c r="FJ10" i="3"/>
  <c r="FK10" i="3"/>
  <c r="FL10" i="3"/>
  <c r="FM10" i="3"/>
  <c r="FN10" i="3"/>
  <c r="FO10" i="3"/>
  <c r="FP10" i="3"/>
  <c r="FQ10" i="3"/>
  <c r="FR10" i="3"/>
  <c r="FS10" i="3"/>
  <c r="FT10" i="3"/>
  <c r="FU10" i="3"/>
  <c r="FV10" i="3"/>
  <c r="FW10" i="3"/>
  <c r="FX10" i="3"/>
  <c r="FY10" i="3"/>
  <c r="FZ10" i="3"/>
  <c r="GA10" i="3"/>
  <c r="GB10" i="3"/>
  <c r="GC10" i="3"/>
  <c r="GD10" i="3"/>
  <c r="GE10" i="3"/>
  <c r="GF10" i="3"/>
  <c r="GG10" i="3"/>
  <c r="GH10" i="3"/>
  <c r="GI10" i="3"/>
  <c r="GJ10" i="3"/>
  <c r="GK10" i="3"/>
  <c r="GL10" i="3"/>
  <c r="GM10" i="3"/>
  <c r="GN10" i="3"/>
  <c r="GO10" i="3"/>
  <c r="GP10" i="3"/>
  <c r="GQ10" i="3"/>
  <c r="GR10" i="3"/>
  <c r="GS10" i="3"/>
  <c r="GT10" i="3"/>
  <c r="GU10" i="3"/>
  <c r="GV10" i="3"/>
  <c r="GW10" i="3"/>
  <c r="GX10" i="3"/>
  <c r="GY10" i="3"/>
  <c r="GZ10" i="3"/>
  <c r="HA10" i="3"/>
  <c r="HB10" i="3"/>
  <c r="HC10" i="3"/>
  <c r="HD10" i="3"/>
  <c r="HE10" i="3"/>
  <c r="HF10" i="3"/>
  <c r="HG10" i="3"/>
  <c r="HH10" i="3"/>
  <c r="HI10" i="3"/>
  <c r="HJ10" i="3"/>
  <c r="HK10" i="3"/>
  <c r="HL10" i="3"/>
  <c r="HM10" i="3"/>
  <c r="HN10" i="3"/>
  <c r="HO10" i="3"/>
  <c r="HP10" i="3"/>
  <c r="HQ10" i="3"/>
  <c r="HR10" i="3"/>
  <c r="HS10" i="3"/>
  <c r="HT10" i="3"/>
  <c r="HU10" i="3"/>
  <c r="HV10" i="3"/>
  <c r="HW10" i="3"/>
  <c r="HX10" i="3"/>
  <c r="HY10" i="3"/>
  <c r="HZ10" i="3"/>
  <c r="IA10" i="3"/>
  <c r="IB10" i="3"/>
  <c r="IC10" i="3"/>
  <c r="ID10" i="3"/>
  <c r="IE10" i="3"/>
  <c r="IF10" i="3"/>
  <c r="IG10" i="3"/>
  <c r="IH10" i="3"/>
  <c r="II10" i="3"/>
  <c r="IJ10" i="3"/>
  <c r="IK10" i="3"/>
  <c r="IL10" i="3"/>
  <c r="IM10" i="3"/>
  <c r="IN10" i="3"/>
  <c r="IO10" i="3"/>
  <c r="IP10" i="3"/>
  <c r="IQ10" i="3"/>
  <c r="IR10" i="3"/>
  <c r="IS10" i="3"/>
  <c r="IT10" i="3"/>
  <c r="IU10" i="3"/>
  <c r="IV10" i="3"/>
  <c r="F11" i="3"/>
  <c r="G11" i="3"/>
  <c r="H11" i="3"/>
  <c r="I11" i="3"/>
  <c r="J11" i="3"/>
  <c r="K11" i="3"/>
  <c r="L11" i="3"/>
  <c r="M11" i="3"/>
  <c r="N11" i="3"/>
  <c r="O11" i="3"/>
  <c r="P11" i="3"/>
  <c r="Q11" i="3"/>
  <c r="R11" i="3"/>
  <c r="S11" i="3"/>
  <c r="T11" i="3"/>
  <c r="U11" i="3"/>
  <c r="V11" i="3"/>
  <c r="W11" i="3"/>
  <c r="X11" i="3"/>
  <c r="Y11" i="3"/>
  <c r="Z11" i="3"/>
  <c r="AA11" i="3"/>
  <c r="AB11" i="3"/>
  <c r="AC11" i="3"/>
  <c r="AD11" i="3"/>
  <c r="AE11" i="3"/>
  <c r="AF11" i="3"/>
  <c r="AG11" i="3"/>
  <c r="AH11" i="3"/>
  <c r="AI11" i="3"/>
  <c r="AJ11" i="3"/>
  <c r="AK11" i="3"/>
  <c r="AL11" i="3"/>
  <c r="AM11" i="3"/>
  <c r="AN11" i="3"/>
  <c r="AO11" i="3"/>
  <c r="AP11" i="3"/>
  <c r="AQ11" i="3"/>
  <c r="AR11" i="3"/>
  <c r="AS11" i="3"/>
  <c r="AT11" i="3"/>
  <c r="AU11" i="3"/>
  <c r="AV11" i="3"/>
  <c r="AW11" i="3"/>
  <c r="AX11" i="3"/>
  <c r="AY11" i="3"/>
  <c r="AZ11" i="3"/>
  <c r="BA11" i="3"/>
  <c r="BB11" i="3"/>
  <c r="BC11" i="3"/>
  <c r="BD11" i="3"/>
  <c r="BE11" i="3"/>
  <c r="BF11" i="3"/>
  <c r="F1" i="3"/>
  <c r="G1" i="3"/>
  <c r="H1" i="3"/>
  <c r="I1" i="3"/>
  <c r="J1" i="3"/>
  <c r="K1" i="3"/>
  <c r="L1" i="3"/>
  <c r="M1" i="3"/>
  <c r="N1" i="3"/>
  <c r="O1" i="3"/>
  <c r="P1" i="3"/>
  <c r="Q1" i="3"/>
  <c r="R1" i="3"/>
  <c r="S1" i="3"/>
  <c r="T1" i="3"/>
  <c r="U1" i="3"/>
  <c r="V1" i="3"/>
  <c r="W1" i="3"/>
  <c r="X1" i="3"/>
  <c r="Y1" i="3"/>
  <c r="Z1" i="3"/>
  <c r="AA1" i="3"/>
  <c r="AB1" i="3"/>
  <c r="AC1" i="3"/>
  <c r="AD1" i="3"/>
  <c r="AE1" i="3"/>
  <c r="AF1" i="3"/>
  <c r="AG1" i="3"/>
  <c r="AH1" i="3"/>
  <c r="AI1" i="3"/>
  <c r="AJ1" i="3"/>
  <c r="AK1" i="3"/>
  <c r="AL1" i="3"/>
  <c r="AM1" i="3"/>
  <c r="AN1" i="3"/>
  <c r="AO1" i="3"/>
  <c r="AP1" i="3"/>
  <c r="AQ1" i="3"/>
  <c r="AR1" i="3"/>
  <c r="AS1" i="3"/>
  <c r="AT1" i="3"/>
  <c r="AU1" i="3"/>
  <c r="AV1" i="3"/>
  <c r="AW1" i="3"/>
  <c r="AX1" i="3"/>
  <c r="AY1" i="3"/>
  <c r="AZ1" i="3"/>
  <c r="BA1" i="3"/>
  <c r="BB1" i="3"/>
  <c r="BC1" i="3"/>
  <c r="BD1" i="3"/>
  <c r="BE1" i="3"/>
  <c r="BF1" i="3"/>
  <c r="BG1" i="3"/>
  <c r="BH1" i="3"/>
  <c r="BI1" i="3"/>
  <c r="BJ1" i="3"/>
  <c r="BK1" i="3"/>
  <c r="BL1" i="3"/>
  <c r="BM1" i="3"/>
  <c r="BN1" i="3"/>
  <c r="BO1" i="3"/>
  <c r="BP1" i="3"/>
  <c r="BQ1" i="3"/>
  <c r="BR1" i="3"/>
  <c r="BS1" i="3"/>
  <c r="BT1" i="3"/>
  <c r="BU1" i="3"/>
  <c r="BV1" i="3"/>
  <c r="BW1" i="3"/>
  <c r="BX1" i="3"/>
  <c r="BY1" i="3"/>
  <c r="BZ1" i="3"/>
  <c r="CA1" i="3"/>
  <c r="CB1" i="3"/>
  <c r="CC1" i="3"/>
  <c r="CD1" i="3"/>
  <c r="CE1" i="3"/>
  <c r="CF1" i="3"/>
  <c r="CG1" i="3"/>
  <c r="CH1" i="3"/>
  <c r="CI1" i="3"/>
  <c r="CJ1" i="3"/>
  <c r="CK1" i="3"/>
  <c r="CL1" i="3"/>
  <c r="CM1" i="3"/>
  <c r="CN1" i="3"/>
  <c r="CO1" i="3"/>
  <c r="CP1" i="3"/>
  <c r="CQ1" i="3"/>
  <c r="CR1" i="3"/>
  <c r="CS1" i="3"/>
  <c r="CT1" i="3"/>
  <c r="CU1" i="3"/>
  <c r="CV1" i="3"/>
  <c r="CW1" i="3"/>
  <c r="CX1" i="3"/>
  <c r="CY1" i="3"/>
  <c r="CZ1" i="3"/>
  <c r="DA1" i="3"/>
  <c r="DB1" i="3"/>
  <c r="DC1" i="3"/>
  <c r="DD1" i="3"/>
  <c r="DE1" i="3"/>
  <c r="DF1" i="3"/>
  <c r="DG1" i="3"/>
  <c r="DH1" i="3"/>
  <c r="DI1" i="3"/>
  <c r="DJ1" i="3"/>
  <c r="DK1" i="3"/>
  <c r="DL1" i="3"/>
  <c r="DM1" i="3"/>
  <c r="DN1" i="3"/>
  <c r="DO1" i="3"/>
  <c r="DP1" i="3"/>
  <c r="DQ1" i="3"/>
  <c r="DR1" i="3"/>
  <c r="DS1" i="3"/>
  <c r="DT1" i="3"/>
  <c r="DU1" i="3"/>
  <c r="DV1" i="3"/>
  <c r="DW1" i="3"/>
  <c r="DX1" i="3"/>
  <c r="DY1" i="3"/>
  <c r="DZ1" i="3"/>
  <c r="EA1" i="3"/>
  <c r="EB1" i="3"/>
  <c r="EC1" i="3"/>
  <c r="ED1" i="3"/>
  <c r="EE1" i="3"/>
  <c r="EF1" i="3"/>
  <c r="EG1" i="3"/>
  <c r="EH1" i="3"/>
  <c r="EI1" i="3"/>
  <c r="EJ1" i="3"/>
  <c r="EK1" i="3"/>
  <c r="EL1" i="3"/>
  <c r="EM1" i="3"/>
  <c r="EN1" i="3"/>
  <c r="EO1" i="3"/>
  <c r="EP1" i="3"/>
  <c r="EQ1" i="3"/>
  <c r="ER1" i="3"/>
  <c r="ES1" i="3"/>
  <c r="ET1" i="3"/>
  <c r="EU1" i="3"/>
  <c r="EV1" i="3"/>
  <c r="EW1" i="3"/>
  <c r="EX1" i="3"/>
  <c r="EY1" i="3"/>
  <c r="EZ1" i="3"/>
  <c r="FA1" i="3"/>
  <c r="FB1" i="3"/>
  <c r="FC1" i="3"/>
  <c r="FD1" i="3"/>
  <c r="FE1" i="3"/>
  <c r="FF1" i="3"/>
  <c r="FG1" i="3"/>
  <c r="FH1" i="3"/>
  <c r="FI1" i="3"/>
  <c r="FJ1" i="3"/>
  <c r="FK1" i="3"/>
  <c r="FL1" i="3"/>
  <c r="FM1" i="3"/>
  <c r="FN1" i="3"/>
  <c r="FO1" i="3"/>
  <c r="FP1" i="3"/>
  <c r="FQ1" i="3"/>
  <c r="FR1" i="3"/>
  <c r="FS1" i="3"/>
  <c r="FT1" i="3"/>
  <c r="FU1" i="3"/>
  <c r="FV1" i="3"/>
  <c r="FW1" i="3"/>
  <c r="FX1" i="3"/>
  <c r="FY1" i="3"/>
  <c r="FZ1" i="3"/>
  <c r="GA1" i="3"/>
  <c r="GB1" i="3"/>
  <c r="GC1" i="3"/>
  <c r="GD1" i="3"/>
  <c r="GE1" i="3"/>
  <c r="GF1" i="3"/>
  <c r="GG1" i="3"/>
  <c r="GH1" i="3"/>
  <c r="GI1" i="3"/>
  <c r="GJ1" i="3"/>
  <c r="GK1" i="3"/>
  <c r="GL1" i="3"/>
  <c r="GM1" i="3"/>
  <c r="GN1" i="3"/>
  <c r="GO1" i="3"/>
  <c r="GP1" i="3"/>
  <c r="GQ1" i="3"/>
  <c r="GR1" i="3"/>
  <c r="GS1" i="3"/>
  <c r="GT1" i="3"/>
  <c r="GU1" i="3"/>
  <c r="GV1" i="3"/>
  <c r="GW1" i="3"/>
  <c r="GX1" i="3"/>
  <c r="GY1" i="3"/>
  <c r="GZ1" i="3"/>
  <c r="HA1" i="3"/>
  <c r="HB1" i="3"/>
  <c r="HC1" i="3"/>
  <c r="HD1" i="3"/>
  <c r="HE1" i="3"/>
  <c r="HF1" i="3"/>
  <c r="HG1" i="3"/>
  <c r="HH1" i="3"/>
  <c r="HI1" i="3"/>
  <c r="HJ1" i="3"/>
  <c r="HK1" i="3"/>
  <c r="HL1" i="3"/>
  <c r="HM1" i="3"/>
  <c r="HN1" i="3"/>
  <c r="HO1" i="3"/>
  <c r="HP1" i="3"/>
  <c r="HQ1" i="3"/>
  <c r="HR1" i="3"/>
  <c r="HS1" i="3"/>
  <c r="HT1" i="3"/>
  <c r="HU1" i="3"/>
  <c r="HV1" i="3"/>
  <c r="HW1" i="3"/>
  <c r="HX1" i="3"/>
  <c r="HY1" i="3"/>
  <c r="HZ1" i="3"/>
  <c r="IA1" i="3"/>
  <c r="IB1" i="3"/>
  <c r="IC1" i="3"/>
  <c r="ID1" i="3"/>
  <c r="IE1" i="3"/>
  <c r="IF1" i="3"/>
  <c r="IG1" i="3"/>
  <c r="IH1" i="3"/>
  <c r="II1" i="3"/>
  <c r="IJ1" i="3"/>
  <c r="IK1" i="3"/>
  <c r="IL1" i="3"/>
  <c r="IM1" i="3"/>
  <c r="IN1" i="3"/>
  <c r="IO1" i="3"/>
  <c r="IP1" i="3"/>
  <c r="IQ1" i="3"/>
  <c r="IR1" i="3"/>
  <c r="IS1" i="3"/>
  <c r="IT1" i="3"/>
  <c r="IU1" i="3"/>
  <c r="IV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J3" authorId="0" shapeId="0" xr:uid="{33A111EB-F712-4474-9CD4-2029FA137944}">
      <text>
        <r>
          <rPr>
            <sz val="12"/>
            <color indexed="81"/>
            <rFont val="Arial"/>
            <family val="2"/>
          </rPr>
          <t>Netzbetreiber mit einer in ihrem Netzgebiet transportierten Elektrizität von:
Dienstleister, die dauerhaft Anlagen von Netzbetreibern fernsteuern können, sofern sie dadurch über ein einziges System Zugriff haben auf eine transportierte Elektrizität von:</t>
        </r>
      </text>
    </comment>
    <comment ref="J5" authorId="0" shapeId="0" xr:uid="{947633BC-98E6-4C06-AB9B-0EC7A8DDE60E}">
      <text>
        <r>
          <rPr>
            <sz val="12"/>
            <color indexed="81"/>
            <rFont val="Arial"/>
            <family val="2"/>
          </rPr>
          <t>Erzeuger, mit Aus-nahme der Kernkraft-werksbetreiber, und Speicherbetreiber, so-fern sie Anlagen von insgesamt folgender Leistung betreiben, die sie über ein einziges System fernsteuern können:
Dienstleister, die dauerhaft Anlagen von Erzeugern, mit Aus-nahme der Kernkraft-werksbetreiber, oder Speicherbetreibern fernsteuern können, so-fern sie dadurch über ein einziges System Zu-griff haben auf eine Leistung von:</t>
        </r>
      </text>
    </comment>
    <comment ref="F9" authorId="0" shapeId="0" xr:uid="{46A6D62E-7242-490E-82F0-4A5FCA80E6B8}">
      <text>
        <r>
          <rPr>
            <sz val="12"/>
            <color indexed="81"/>
            <rFont val="Arial"/>
            <family val="2"/>
          </rPr>
          <t>The value for the Statement of Applicability (SoA) must be entered here</t>
        </r>
      </text>
    </comment>
    <comment ref="G9" authorId="0" shapeId="0" xr:uid="{D2FB9C04-575C-4380-B31A-8FF90FDD4EA6}">
      <text>
        <r>
          <rPr>
            <sz val="12"/>
            <color indexed="81"/>
            <rFont val="Arial"/>
            <family val="2"/>
          </rPr>
          <t>The actual values of the organisation for the area of electricity distribution grid must be entered in this column.</t>
        </r>
      </text>
    </comment>
    <comment ref="H9" authorId="0" shapeId="0" xr:uid="{A681D751-B9DD-4DC8-913C-FD163948A281}">
      <text>
        <r>
          <rPr>
            <sz val="12"/>
            <color indexed="81"/>
            <rFont val="Arial"/>
            <family val="2"/>
          </rPr>
          <t>The organisation's own target values of the organisation for the area of electricity distribution grid must be entered in this column.</t>
        </r>
      </text>
    </comment>
    <comment ref="J9" authorId="0" shapeId="0" xr:uid="{2EF65F9D-6385-48D3-A344-F17443C8AA92}">
      <text>
        <r>
          <rPr>
            <sz val="12"/>
            <color indexed="81"/>
            <rFont val="Arial"/>
            <family val="2"/>
          </rPr>
          <t>The value for the Statement of Applicability (SoA) must be entered here</t>
        </r>
      </text>
    </comment>
    <comment ref="K9" authorId="0" shapeId="0" xr:uid="{036667CC-FFE0-4E5C-8045-21E292170240}">
      <text>
        <r>
          <rPr>
            <sz val="12"/>
            <color indexed="81"/>
            <rFont val="Arial"/>
            <family val="2"/>
          </rPr>
          <t>The actual values of the organisation for the area of electricity production (generation and storage) must be entered in this column.</t>
        </r>
      </text>
    </comment>
    <comment ref="L9" authorId="0" shapeId="0" xr:uid="{776379BE-8362-4513-9430-915204879DC0}">
      <text>
        <r>
          <rPr>
            <sz val="11"/>
            <color indexed="81"/>
            <rFont val="Arial"/>
            <family val="2"/>
          </rPr>
          <t>The organisation's own target values of the organisation for the area of electricity production (generation and storage) must be entered in this column.</t>
        </r>
      </text>
    </comment>
    <comment ref="N9" authorId="0" shapeId="0" xr:uid="{F36D1088-17F6-4065-8C91-BD630F6A5142}">
      <text>
        <r>
          <rPr>
            <sz val="12"/>
            <color indexed="81"/>
            <rFont val="Arial"/>
            <family val="2"/>
          </rPr>
          <t>The value for the Statement of Applicability (SoA) must be entered here</t>
        </r>
      </text>
    </comment>
    <comment ref="O9" authorId="0" shapeId="0" xr:uid="{46228F70-CD36-4B14-8040-F2A622016E01}">
      <text>
        <r>
          <rPr>
            <sz val="12"/>
            <color indexed="81"/>
            <rFont val="Arial"/>
            <family val="2"/>
          </rPr>
          <t>The actual values of the organisation for the general IT (Baseline) must be entered in this column.</t>
        </r>
      </text>
    </comment>
    <comment ref="P9" authorId="0" shapeId="0" xr:uid="{3D143797-5286-4DA3-993B-06981FBA1E2B}">
      <text>
        <r>
          <rPr>
            <sz val="11"/>
            <color indexed="81"/>
            <rFont val="Arial"/>
            <family val="2"/>
          </rPr>
          <t>The organisation's own target values of the organisation for the general IT (Baseline) must be entered in this column.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5" authorId="0" shapeId="0" xr:uid="{C0C16D9F-91E3-424A-9144-9D82A4BDDE9E}">
      <text>
        <r>
          <rPr>
            <sz val="9"/>
            <color indexed="81"/>
            <rFont val="Segoe UI"/>
            <family val="2"/>
          </rPr>
          <t xml:space="preserve">Although the organisation/company is aware that the measure concerned should actually be implemented, nothing has been done yet.
</t>
        </r>
      </text>
    </comment>
    <comment ref="E6" authorId="0" shapeId="0" xr:uid="{1E78D0A0-8058-458B-94E8-E04F7604688C}">
      <text>
        <r>
          <rPr>
            <sz val="9"/>
            <color indexed="81"/>
            <rFont val="Segoe UI"/>
            <family val="2"/>
          </rPr>
          <t>Maturity level 1 reflects risk management processes and organisational
cybersecurity requirements which have not been formalised. Thus, cybersecurity risks are generally managed on an ad-hoc
or reactive basis. There is an integrated risk management programme at the organisational level, but no institutionalised awareness of cybersecurity risks or an organisation-wide approach to managing them. Typically, the organisation will not have procedures in place to make coordinated use of information on cybersecurity. Similarly, in many cases, where cybersecurity risks occur the organisation will not have standardised procedures by which to share information or to coordinate collaboration with external partners.</t>
        </r>
      </text>
    </comment>
    <comment ref="E7" authorId="0" shapeId="0" xr:uid="{0A0D9DA1-A3AD-4883-A6D1-987DF3D2A344}">
      <text>
        <r>
          <rPr>
            <sz val="9"/>
            <color indexed="81"/>
            <rFont val="Segoe UI"/>
            <family val="2"/>
          </rPr>
          <t xml:space="preserve">Organisations which classify themselves into tier 2 typically have risk management procedures in place to counter cybersecurity risks. However, they are not implemented in the form of specific instructions that staff must follow. At the organisational level, cybersecurity risks are integrated into the company-wide risk management system, and there is a certain awareness at
all levels of the business. That said, such organisations usually
lack company-wide approaches to managing and improving awareness of current and future cybersecurity risks. Approved procedures and processes are defined and implemented. Staff have sufficient resources to fulfil their roles in connection with cybersecurity. Cybersecurity information is shared within the
organisation on an informal basis. The organisation understands its role in the broader environment and communicates with external partners (e.g. customers, suppliers, service providers, etc.) on cybersecurity issues. There are no standardised procedures for cooperating or for sharing information with these partners, however.
</t>
        </r>
      </text>
    </comment>
    <comment ref="E8" authorId="0" shapeId="0" xr:uid="{3D2ADEBA-589B-47D0-9156-EFF35DDE6B9D}">
      <text>
        <r>
          <rPr>
            <sz val="9"/>
            <color indexed="81"/>
            <rFont val="Segoe UI"/>
            <family val="2"/>
          </rPr>
          <t>Organisations at tier level 3 have formally approved risk management plans, as well as requirements for their implementation throughout the business. Policies applicable to the company as a whole define how cybersecurity risks are to be handled. The cybersecurity risks that are recorded as standard, as well as the requirements for dealing with them, are updated regularly. These updates factor in changes to business needs, technical developments and a changing threat landscape – as a result of new actors, for example – or political shifts.
Procedures and processes for dealing with these new risks are defined in writing. The organisation uses standardised methods to respond to changes in risk. Staff have the knowledge and skills they need to fulfil their roles.
The organisation understands its dependencies upon external partners, and regularly shares information with them that enables its management to take decisions in response to incidents.</t>
        </r>
      </text>
    </comment>
    <comment ref="E9" authorId="0" shapeId="0" xr:uid="{B45765CE-7A9F-414C-88BE-92DAB704AA9E}">
      <text>
        <r>
          <rPr>
            <sz val="9"/>
            <color indexed="81"/>
            <rFont val="Segoe UI"/>
            <family val="2"/>
          </rPr>
          <t>Tier level 4 means that an organisation meets all of the requirements for tier levels 1–3 in full, and also reviews its own procedures, methods and capabilities continuously, improving them where necessary. This continuous improvement is based on the complete documentation of all cybersecurity incidents. The organisation analyses past incidents and learns the necessary lessons, adapting its own procedures and the security technologies it uses dynamically to advances in cybersecurity technologies or changing threat situations. Cybersecurity risk management is an integral part of the corporate culture. Findings from previous incidents, and information from external sources and from the business’s ongoing monitoring of its own systems and networks is integrated continually into the risk management process. The organisation shares information with partners all the time, for which it has standardised procedures in place.</t>
        </r>
      </text>
    </comment>
    <comment ref="E10" authorId="0" shapeId="0" xr:uid="{7032BE14-B9E2-4F51-B360-D005784B275F}">
      <text>
        <r>
          <rPr>
            <sz val="9"/>
            <color indexed="81"/>
            <rFont val="Segoe UI"/>
            <family val="2"/>
          </rPr>
          <t>This measure is deliberately not implemented by the organisation/company in accordance with its own risk assessment.</t>
        </r>
      </text>
    </comment>
    <comment ref="E20" authorId="0" shapeId="0" xr:uid="{EC7525B3-0B9D-44D3-8D6F-F0F416F2FB94}">
      <text>
        <r>
          <rPr>
            <sz val="9"/>
            <color indexed="81"/>
            <rFont val="Segoe UI"/>
            <family val="2"/>
          </rPr>
          <t>Obschon sich die Organisation / das Unternehmen bewusst ist, dass die betroffene Massnahme eigentlich umgesetzt werden sollte, wurde noch nichts unternommen.</t>
        </r>
      </text>
    </comment>
    <comment ref="E21" authorId="0" shapeId="0" xr:uid="{B3FB2C3A-8633-42C6-99FA-7658C5A46159}">
      <text>
        <r>
          <rPr>
            <sz val="9"/>
            <color indexed="81"/>
            <rFont val="Segoe UI"/>
            <family val="2"/>
          </rPr>
          <t>Risikomanagement Prozesse und Organisatorische Cyber-Sicherheit Risikomanagement-Praktiken sind nicht formalisiert, und das Risiko wird ad hoc und manchmal reaktive verwaltet. Die Priorisierung von Cyber-Security-Aktivitäten darf nicht direkt durch organisatorische Risikoprofile, die Bedrohungs-umgebung oder die Anforderungen an die Unternehmens- und Mission erfüllt werden.
Ein Integriertes Risikomanagement-Programm auf organisatorischer Ebene besteht, aber ein begrenz-tes Bewusstsein für das Cyber-Security-Risiko und ein organisationsweiter Ansatz zur Bewältigung des Cyber-Sicherheitsrisikos sind nicht etabliert. Die Organisation implementiert das Cyber-Security-Risikomanagement auf einer unregelmässigen Fall-für-Fall Aktivität aufgrund unterschiedlicher Erfah-rungen oder Informationen aus externen Quellen. Die Organisation verfügt möglicherweise nicht über Prozesse, die es ermöglichen, dass Cybersicherheitsinformationen innerhalb der Organisation ge-meinsam genutzt werden können.
Externe Beteiligung: Eine Organisation verfügt nicht über Prozesse, um an der Koordination oder Zu-sammenarbeit mit anderen Einrichtungen teilzunehmen.</t>
        </r>
      </text>
    </comment>
    <comment ref="E22" authorId="0" shapeId="0" xr:uid="{DCD69646-660D-41B9-8B97-5EEAA93AE269}">
      <text>
        <r>
          <rPr>
            <sz val="9"/>
            <color indexed="81"/>
            <rFont val="Segoe UI"/>
            <family val="2"/>
          </rPr>
          <t xml:space="preserve">Risikomanagement Prozesse und Praktiken werden von der Verwaltung genehmigt, können aber nicht als organisatorische Politik etabliert werden. Die Priorisierung der Cyber-Security-Aktivitäten wird di-rekt durch organisatorische Risikoziele, die Bedrohungsumgebung oder die Anforderungen an die Unternehmensziele erfüllt.
Ein Integriertes Risikomanagement-Programm auf der organisatorischen Ebene ist ein Bewusstsein für das Cyber-Security-Risiko zu vermitteln, aber ein organisationsweiter Ansatz zur Steuerung des Cyber Risiko Awareness ist nicht etabliert. Genehmigte Prozesse und Verfahren sind definiert und umge-setzt, und das Personal verfügt über ausreichende Ressourcen, um ihre Cybersicherheitsaufgaben wahrzunehmen. Cybersecurity-Informationen werden innerhalb der Organisation auf informeller Basis geteilt.
Externe Partizipation: Die Organisation kennt ihre Rolle im grösseren Ökosystem, hat aber ihre Fähig-keiten nicht formuliert, um interaktiv zu kommunizieren und Informationen freizugeben.
</t>
        </r>
      </text>
    </comment>
    <comment ref="E23" authorId="0" shapeId="0" xr:uid="{C17F0312-4E12-457C-8069-1CA9AB6CF8BD}">
      <text>
        <r>
          <rPr>
            <sz val="9"/>
            <color indexed="81"/>
            <rFont val="Segoe UI"/>
            <family val="2"/>
          </rPr>
          <t xml:space="preserve">Die Risikomanagement-Praktiken der Organisation werden formell genehmigt und als Firmenrichtlinen ausgedrückt. Die organisatorischen Cyber-Security-Praktiken werden regelmässig aktualisiert, basie-rend auf der Anwendung von Risikomanagementprozessen auf Veränderungen der Geschäftsanforde-rungen und einer sich wandelnden Bedrohungs- und Technologielandschaft.
Es besteht ein organisationsweiter Ansatz zur Steuerung des Cyber-Security Risikos. Risiko-informierte Firmenrichtlinen, Prozesse und Verfahren werden definiert, wie beabsichtigt umgesetzt und überprüft. Konsequente Methoden sind vorhanden, um effektiv auf Veränderungen des Risikos zu reagieren. Das Personal verfügt über Kenntnisse und Fähigkeiten, um ihre Aufgaben und Verantwortlichkeiten zu erfüllen.
Externe Partizipation: Die Organisation versteht ihre Abhängigkeiten und Partner und erhält von diesen Partnern Informationen, die kollaborations- und risikobasierte Managemententscheidungen innerhalb der Organisation als Reaktion auf Veranstaltungen ermöglichen. </t>
        </r>
      </text>
    </comment>
    <comment ref="E24" authorId="0" shapeId="0" xr:uid="{177C825F-5FED-4A5F-8011-5C0E2076FCC0}">
      <text>
        <r>
          <rPr>
            <sz val="9"/>
            <color indexed="81"/>
            <rFont val="Segoe UI"/>
            <family val="2"/>
          </rPr>
          <t>Die Organisation passt ihre Cyber-Security-Praktiken auf der Grundlage von Lehren und prädiktiven Indikatoren, die aus früheren und aktuellen Cyber-Security-Aktivitäten abgeleitet wurden. Durch einen Prozess der kontinuierlichen Verbesserung, der fortschrittliche Cyber-Sicherheitstechnologien und -praktiken einbezieht, passt sich die Organisation aktiv an eine sich wandelnde Cyber-Security Land-schaft an und reagiert auf sich entwickelnde und anspruchsvolle Bedrohungen rechtzeitig.
Es gibt einen organisationsübergreifenden Ansatz zur Bewältigung des Cyber-Security-Risikos, das risikoorientierte Richtlinien, Prozesse und Verfahren zur Bewältigung potenzieller Cyber-Security An-griffen etabliert ist. Risikomanagement ist Teil der Organisationskultur und entwickelt sich aus dem Bewusstsein der bisherigen Aktivitäten, der von anderen Quellen geteilten Informationen und dem kontinuierlichen Wissen über Aktivitäten auf ihren Systemen und Netzwerken.
Externe Partizipation - Die Organisation verwaltet das Risiko und teilt aktiv Informationen mit Partnern, um sicherzustellen, dass genaue, aktuelle Informationen verteilt und verbraucht werden, um die Cyber-sicherheit zu verbessern, bevor ein Cyber-Security-Event eintritt.</t>
        </r>
      </text>
    </comment>
    <comment ref="E25" authorId="0" shapeId="0" xr:uid="{695BFC2D-7516-4C6D-911D-3E621C2D9833}">
      <text>
        <r>
          <rPr>
            <sz val="9"/>
            <color indexed="81"/>
            <rFont val="Segoe UI"/>
            <family val="2"/>
          </rPr>
          <t>Diese Massnahme wird von der Organisation / dem Unternehmen entsprechend der eigenen Risiko-bewertung bewusst nicht umgesetzt.</t>
        </r>
      </text>
    </comment>
    <comment ref="E35" authorId="0" shapeId="0" xr:uid="{BD092109-4AD8-4769-9D52-ACEB82020305}">
      <text>
        <r>
          <rPr>
            <sz val="9"/>
            <color indexed="81"/>
            <rFont val="Segoe UI"/>
            <family val="2"/>
          </rPr>
          <t xml:space="preserve">Bien que l'organisation/entreprise soit consciente que la mesure concernée doit être effectivement mise en œuvre, rien n'a encore été fait.
</t>
        </r>
      </text>
    </comment>
    <comment ref="E36" authorId="0" shapeId="0" xr:uid="{BE75BA03-EEE2-4C7A-8976-7B34686B5DCE}">
      <text>
        <r>
          <rPr>
            <sz val="9"/>
            <color indexed="81"/>
            <rFont val="Segoe UI"/>
            <family val="2"/>
          </rPr>
          <t>Le niveau 1 signifie que les processus de gestion des risques ainsi que les exigences organisationnelles pour la sécurité des TIC ne sont pas formalisés (pas de règles fixées). Les risques informatiques sont généralement gérés au jour le jour, en mode réactif. Il existe un programme intégré pour gérer les risques au niveau organisationnel, mais on n’a pas instauré une véritable prise de conscience des risques informatiques ou une approche globale pour y faire face dans l’entreprise. Cette dernière ne dispose généralement pas de processus pour relayer en son sein les informations sur la cybersécurité. Il en va de même en cas d’incident de sécurité, l’entreprise n’a le plus souvent pas prévu de processus standardisés pour communiquer ou coordonner ses activités avec ses partenaires externes.</t>
        </r>
      </text>
    </comment>
    <comment ref="E37" authorId="0" shapeId="0" xr:uid="{E7678401-37AE-48B8-994C-90DC856F5ECB}">
      <text>
        <r>
          <rPr>
            <sz val="9"/>
            <color indexed="81"/>
            <rFont val="Segoe UI"/>
            <family val="2"/>
          </rPr>
          <t xml:space="preserve">Les entreprises qui optent pour un classement au niveau 2 disposent généralement de processus pour gérer leurs risques informatiques. Cependant, ces programmes ne sont pas concrètement appliqués ni obligatoires. Au niveau organisationnel, les risques informatiques sont intégrés dans un système de gestion global et tous les niveaux de l’entreprise ont été sensibilisés aux risques informatiques. Toutefois on enregistre souvent dans l’entreprise un manque de volonté pour gérer et améliorer la sensibilisation aux risques informatiques, actuels et futurs. Les processus et méthodes approuvés sont définis et mis en oeuvre. Les collaborateurs disposent de ressources suffisantes pour
effectuer leurs tâches de cybersécurité. Les informations sur la cybersécurité sont partagées de manière informelle au sein de l’entreprise. Cette dernière est consciente de son rôle et n’hésite pas à communiquer avec ses partenaires externes (clients, fournisseurs, prestataires de services, etc.) sur les questions de cybersécurité. Il n’existe cependant aucun processus standardisé pour collaborer ou échanger des informations avec ces partenaires.
</t>
        </r>
      </text>
    </comment>
    <comment ref="E38" authorId="0" shapeId="0" xr:uid="{4CE4F521-8A83-4D88-BEAF-603D9496BED9}">
      <text>
        <r>
          <rPr>
            <sz val="9"/>
            <color indexed="81"/>
            <rFont val="Segoe UI"/>
            <family val="2"/>
          </rPr>
          <t xml:space="preserve">Les entreprises de niveau 3 ont formellement validé leurs plans pour gérer les risques et leurs instructions pour les faire appliquer en leur sein. La gestion des risques informatiques est définie dans les directives de l’entreprise. Les risques informatiques sont répertoriés de manière standardisée et les directives pour y remédier font l’objet de mises à jour régulières. Cette pratique tient compte des nouveaux besoins de l’entreprise, des progrès technologiques et d’un environnement où les menaces sont mouvantes, que ce soit à cause de nouveaux acteurs ou d’une nouvelle législation.
La documentation interne décrit les processus et procédures pour gérer les nouveaux risques. Des méthodes standardisées sont définies pour répondre à l’évolution des menaces. Les collaborateurs ont les connaissances et les compétences nécessaires pour accomplir leurs tâches.
L’entreprise sait qu’elle est tributaire de ses partenaires externes. Elle partage les informations qui lui permettent, face à des incidents, de prendre elle-même des décisions.
</t>
        </r>
      </text>
    </comment>
    <comment ref="E39" authorId="0" shapeId="0" xr:uid="{688E2A26-32F0-4B19-B7F7-D86A49B736D7}">
      <text>
        <r>
          <rPr>
            <sz val="9"/>
            <color indexed="81"/>
            <rFont val="Segoe UI"/>
            <family val="2"/>
          </rPr>
          <t xml:space="preserve">Le niveau 4 signifie qu’une entreprise répond entièrement aux exigences des niveaux 1 à 3, et qu’en plus, elle analyse en permanence ses propres processus, méthodes et capacités pour les adapter, le cas échéant. Il est indispensable de bien documenter tous les incidents de cybersécurité pour pouvoir continuellement s’améliorer. L’entreprise tire les leçons nécessaires de l’analyse des incidents passés et adapte, de manière dynamique, ses processus et techniques de sécurité aux technologies de pointe et à l’évolution des menaces. La gestion des risques informatiques fait intégralement partie de la culture d’entreprise. Les enseignements tirés des incidents passés, les informations provenant de sources externes et la surveillance constante des systèmes et réseaux internes sont constamment intégrés dans le processus de gestion des risques. L’entreprise partage en permanence ses informations avec ses partenaires en recourant à des processus standardisés.
</t>
        </r>
      </text>
    </comment>
    <comment ref="E40" authorId="0" shapeId="0" xr:uid="{2104D019-360B-4B20-AB43-78DC5040AE1D}">
      <text>
        <r>
          <rPr>
            <sz val="9"/>
            <color indexed="81"/>
            <rFont val="Segoe UI"/>
            <family val="2"/>
          </rPr>
          <t>Cette mesure n'est délibérément pas mise en œuvre par l'organisation/société conformément à sa propre évaluation des risques.</t>
        </r>
      </text>
    </comment>
    <comment ref="E50" authorId="0" shapeId="0" xr:uid="{4B9EC68D-FEB8-4982-95FB-0B82B13C283A}">
      <text>
        <r>
          <rPr>
            <sz val="9"/>
            <color indexed="81"/>
            <rFont val="Segoe UI"/>
            <family val="2"/>
          </rPr>
          <t xml:space="preserve">Anche se l’organizzazione / la società è consapevole del fatto che il provvedimento in questione dovrebbe essere effettivamente implementato, purtroppo non è ancora stato intrapreso niente.
</t>
        </r>
      </text>
    </comment>
    <comment ref="E51" authorId="0" shapeId="0" xr:uid="{C05FB14A-E26C-4EED-A237-76154732DB19}">
      <text>
        <r>
          <rPr>
            <sz val="9"/>
            <color indexed="81"/>
            <rFont val="Segoe UI"/>
            <family val="2"/>
          </rPr>
          <t>Il tier level 1 significa che le procedure di gestione dei rischi e le direttive organizzative per la sicurezza TIC non sono formalizzate e che i rischi TIC vengono abitualmente gestiti solo situativamente o in modo reattivo. Un programma di gestione dei rischi integrato a livello organizzativo è stato definito, ma mancano ancora una consapevolezza dei rischi TIC e un approccio organizzativo per affrontarli. L’organismo o l’impresa non dispongono in genere né di procedure atte a utilizzare congiuntamente al loro interno le informazioni sulla cybersicurezza né, spesso, in caso di rischi TIC, di procedure standard finalizzate allo scambio di informazioni o a una collaborazione coordinata con partner esterni.</t>
        </r>
      </text>
    </comment>
    <comment ref="E52" authorId="0" shapeId="0" xr:uid="{FA73E499-02B0-4F33-96BB-A47DCC39CAAC}">
      <text>
        <r>
          <rPr>
            <sz val="9"/>
            <color indexed="81"/>
            <rFont val="Segoe UI"/>
            <family val="2"/>
          </rPr>
          <t>Gli organismi o le imprese che si autoinseriscono nel tier level 2 dispongono in genere di procedure di gestione dei rischi TIC, che tuttavia non sono state concretizzate sotto forma di istruzioni operative. Sul piano organizzativo i rischi TIC sono integrati nella gestione aziendale dei rischi e tutti i livelli aziendali ne sono consapevoli. A mancare è invece in genere un approccio volto a gestire e migliorare la consapevolezza (awareness) di rischi TIC attuali e futuri. I processi e le procedure sono definiti e attuati. Il personale dispone di risorse sufficienti per svolgere le proprie mansioni nell’ambito della cybersicurezza. Le informazioni sulla cybersicurezza vengono comunicate all’interno dell’organismo o dell’impresa in modo informale. Organismo o impresa sono consapevoli del proprio ruolo e comunicano con partner esterni sul tema della sicurezza (p.es. clienti, fornitori, operatori ecc.). Non esistono tuttavia procedure standard per la cooperazione e lo scambio di informazioni.</t>
        </r>
      </text>
    </comment>
    <comment ref="E53" authorId="0" shapeId="0" xr:uid="{F171B07D-2905-4099-BB6F-3A3BCBF7D838}">
      <text>
        <r>
          <rPr>
            <sz val="9"/>
            <color indexed="81"/>
            <rFont val="Segoe UI"/>
            <family val="2"/>
          </rPr>
          <t xml:space="preserve">Gli organismi o le imprese del tier level 3 dispongono di piani di gestione dei rischi formalmente approvati e di istruzioni per applicarli al proprio interno. La gestione dei rischi TIC è definita in direttive con validità generale. I rischi TIC rilevati con criteri standard e le istruzioni per la loro gestione vengono regolarmente aggiornati tenendo conto sia delle esigenze operative sia dello sviluppo tecnologico e di un contesto delle minacce in continuo mutamento causa la presenza di nuovi soggetti o di un quadro politico in costante evoluzione. 
Processi e procedure per la gestione di nuovi rischi sono definiti per iscritto. Per reagire a questi rischi vengono applicati metodi standard. Il personale dispone delle conoscenze e delle capacità necessarie per svolgere le proprie mansioni. 
L’organismo o l’impresa sono consapevoli del proprio rapporto di dipendenza con i partner esterni e scambiano informazioni per consentire alla direzione di adottare decisioni con cui reagire agli eventi di cybersicurezza.
</t>
        </r>
      </text>
    </comment>
    <comment ref="E54" authorId="0" shapeId="0" xr:uid="{F0B04336-C27C-48B6-B64E-C7F3F435EF7E}">
      <text>
        <r>
          <rPr>
            <sz val="9"/>
            <color indexed="81"/>
            <rFont val="Segoe UI"/>
            <family val="2"/>
          </rPr>
          <t xml:space="preserve">Il tier level 4 indica che un organismo o un’impresa hanno inte¬ramente soddisfatto tutti i requisiti dei tier level 1–3 e verificano inoltre, migliorandoli se necessario, i propri metodi, capacità e procedure in base a una documentazione completa relativa a tutti gli eventi di cybersicurezza. L’organismo o l’impresa traggono le necessarie conclusioni dall’analisi degli eventi precedenti e adeguano in modo dinamico le proprie procedure e tecnologie in materia di sicurezza in funzione delle più recenti tecnologie o dei contesti di minacce. La gestione dei rischi TIC è parte inte¬grante della cultura dell’organismo o dell’impresa. Le conclusioni tratte dagli eventi precedenti e le informazioni acquisite da fonti esterne e dal controllo permanente dei propri sistemi e reti ven¬gono integrati continuamente nella procedura di gestione dei rischi. L’organismo o l’impresa comunicano regolarmente tali informazioni ai partner e dispone di procedure standard.
</t>
        </r>
      </text>
    </comment>
    <comment ref="E55" authorId="0" shapeId="0" xr:uid="{67428194-8C54-427E-82A4-46633B812480}">
      <text>
        <r>
          <rPr>
            <sz val="9"/>
            <color indexed="81"/>
            <rFont val="Segoe UI"/>
            <family val="2"/>
          </rPr>
          <t>Questo provvedimento non viene appositamente implementato dall’organizzazione / dalla società in conformità con la propria valutazione dei rischi.</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K3" authorId="0" shapeId="0" xr:uid="{E723B773-0119-451F-8184-C6C2FF34CD8A}">
      <text>
        <r>
          <rPr>
            <sz val="9"/>
            <color indexed="81"/>
            <rFont val="Segoe UI"/>
            <family val="2"/>
          </rPr>
          <t>Obschon sich die Organisation / das Unternehmen bewusst ist, dass die betroffene Massnahme eigentlich umgesetzt werden sollte, wurde noch nichts unternommen.</t>
        </r>
      </text>
    </comment>
    <comment ref="K4" authorId="0" shapeId="0" xr:uid="{D280B74B-CE88-4A91-8609-67B2E4625D63}">
      <text>
        <r>
          <rPr>
            <sz val="9"/>
            <color indexed="81"/>
            <rFont val="Segoe UI"/>
            <family val="2"/>
          </rPr>
          <t>Risikomanagement Prozesse und Organisatorische Cyber-Sicherheit Risikomanagement-Praktiken sind nicht formalisiert, und das Risiko wird ad hoc und manchmal reaktive verwaltet. Die Priorisierung von Cyber-Security-Aktivitäten darf nicht direkt durch organisatorische Risikoprofile, die Bedrohungs-umgebung oder die Anforderungen an die Unternehmens- und Mission erfüllt werden.
Ein Integriertes Risikomanagement-Programm auf organisatorischer Ebene besteht, aber ein begrenz-tes Bewusstsein für das Cyber-Security-Risiko und ein organisationsweiter Ansatz zur Bewältigung des Cyber-Sicherheitsrisikos sind nicht etabliert. Die Organisation implementiert das Cyber-Security-Risikomanagement auf einer unregelmässigen Fall-für-Fall Aktivität aufgrund unterschiedlicher Erfah-rungen oder Informationen aus externen Quellen. Die Organisation verfügt möglicherweise nicht über Prozesse, die es ermöglichen, dass Cybersicherheitsinformationen innerhalb der Organisation ge-meinsam genutzt werden können.
Externe Beteiligung: Eine Organisation verfügt nicht über Prozesse, um an der Koordination oder Zu-sammenarbeit mit anderen Einrichtungen teilzunehmen.</t>
        </r>
      </text>
    </comment>
    <comment ref="K5" authorId="0" shapeId="0" xr:uid="{90F12622-100B-48E9-A6FD-945CBD7A98D3}">
      <text>
        <r>
          <rPr>
            <sz val="9"/>
            <color indexed="81"/>
            <rFont val="Segoe UI"/>
            <family val="2"/>
          </rPr>
          <t xml:space="preserve">Risikomanagement Prozesse und Praktiken werden von der Verwaltung genehmigt, können aber nicht als organisatorische Politik etabliert werden. Die Priorisierung der Cyber-Security-Aktivitäten wird di-rekt durch organisatorische Risikoziele, die Bedrohungsumgebung oder die Anforderungen an die Unternehmensziele erfüllt.
Ein Integriertes Risikomanagement-Programm auf der organisatorischen Ebene ist ein Bewusstsein für das Cyber-Security-Risiko zu vermitteln, aber ein organisationsweiter Ansatz zur Steuerung des Cyber Risiko Awareness ist nicht etabliert. Genehmigte Prozesse und Verfahren sind definiert und umge-setzt, und das Personal verfügt über ausreichende Ressourcen, um ihre Cybersicherheitsaufgaben wahrzunehmen. Cybersecurity-Informationen werden innerhalb der Organisation auf informeller Basis geteilt.
Externe Partizipation: Die Organisation kennt ihre Rolle im grösseren Ökosystem, hat aber ihre Fähig-keiten nicht formuliert, um interaktiv zu kommunizieren und Informationen freizugeben.
</t>
        </r>
      </text>
    </comment>
    <comment ref="K6" authorId="0" shapeId="0" xr:uid="{B75C9DD0-416D-478D-903C-A6E714F0F5CF}">
      <text>
        <r>
          <rPr>
            <sz val="9"/>
            <color indexed="81"/>
            <rFont val="Segoe UI"/>
            <family val="2"/>
          </rPr>
          <t xml:space="preserve">Die Risikomanagement-Praktiken der Organisation werden formell genehmigt und als Firmenrichtlinen ausgedrückt. Die organisatorischen Cyber-Security-Praktiken werden regelmässig aktualisiert, basie-rend auf der Anwendung von Risikomanagementprozessen auf Veränderungen der Geschäftsanforde-rungen und einer sich wandelnden Bedrohungs- und Technologielandschaft.
Es besteht ein organisationsweiter Ansatz zur Steuerung des Cyber-Security Risikos. Risiko-informierte Firmenrichtlinen, Prozesse und Verfahren werden definiert, wie beabsichtigt umgesetzt und überprüft. Konsequente Methoden sind vorhanden, um effektiv auf Veränderungen des Risikos zu reagieren. Das Personal verfügt über Kenntnisse und Fähigkeiten, um ihre Aufgaben und Verantwortlichkeiten zu erfüllen.
Externe Partizipation: Die Organisation versteht ihre Abhängigkeiten und Partner und erhält von diesen Partnern Informationen, die kollaborations- und risikobasierte Managemententscheidungen innerhalb der Organisation als Reaktion auf Veranstaltungen ermöglichen. </t>
        </r>
      </text>
    </comment>
    <comment ref="K7" authorId="0" shapeId="0" xr:uid="{D34706C2-5067-431D-9016-C5FA52FB4002}">
      <text>
        <r>
          <rPr>
            <sz val="9"/>
            <color indexed="81"/>
            <rFont val="Segoe UI"/>
            <family val="2"/>
          </rPr>
          <t>Die Organisation passt ihre Cyber-Security-Praktiken auf der Grundlage von Lehren und prädiktiven Indikatoren, die aus früheren und aktuellen Cyber-Security-Aktivitäten abgeleitet wurden. Durch einen Prozess der kontinuierlichen Verbesserung, der fortschrittliche Cyber-Sicherheitstechnologien und -praktiken einbezieht, passt sich die Organisation aktiv an eine sich wandelnde Cyber-Security Land-schaft an und reagiert auf sich entwickelnde und anspruchsvolle Bedrohungen rechtzeitig.
Es gibt einen organisationsübergreifenden Ansatz zur Bewältigung des Cyber-Security-Risikos, das risikoorientierte Richtlinien, Prozesse und Verfahren zur Bewältigung potenzieller Cyber-Security An-griffen etabliert ist. Risikomanagement ist Teil der Organisationskultur und entwickelt sich aus dem Bewusstsein der bisherigen Aktivitäten, der von anderen Quellen geteilten Informationen und dem kontinuierlichen Wissen über Aktivitäten auf ihren Systemen und Netzwerken.
Externe Partizipation - Die Organisation verwaltet das Risiko und teilt aktiv Informationen mit Partnern, um sicherzustellen, dass genaue, aktuelle Informationen verteilt und verbraucht werden, um die Cyber-sicherheit zu verbessern, bevor ein Cyber-Security-Event eintritt.</t>
        </r>
      </text>
    </comment>
    <comment ref="K8" authorId="0" shapeId="0" xr:uid="{435D1C2C-8000-4B21-B50B-98C60B46480C}">
      <text>
        <r>
          <rPr>
            <b/>
            <sz val="9"/>
            <color indexed="81"/>
            <rFont val="Segoe UI"/>
            <family val="2"/>
          </rPr>
          <t>Autor:</t>
        </r>
        <r>
          <rPr>
            <sz val="9"/>
            <color indexed="81"/>
            <rFont val="Segoe UI"/>
            <family val="2"/>
          </rPr>
          <t xml:space="preserve">
Diese Massnahme wird von der Organisation / dem Unternehmen entsprechend der eigenen Risiko-bewertung bewusst nicht umgesetzt.</t>
        </r>
      </text>
    </comment>
  </commentList>
</comments>
</file>

<file path=xl/sharedStrings.xml><?xml version="1.0" encoding="utf-8"?>
<sst xmlns="http://schemas.openxmlformats.org/spreadsheetml/2006/main" count="1086" uniqueCount="677">
  <si>
    <t>Kapitel</t>
  </si>
  <si>
    <t>Ref.</t>
  </si>
  <si>
    <t>Titel</t>
  </si>
  <si>
    <t>Control</t>
  </si>
  <si>
    <t>A</t>
  </si>
  <si>
    <t>C</t>
  </si>
  <si>
    <t>5 Organisatorische Controls</t>
  </si>
  <si>
    <t>A.5.1</t>
  </si>
  <si>
    <t>Richtlinien für die Informationssicherheit</t>
  </si>
  <si>
    <t>Informationssicherheitsrichtlinien und themenspezifische Richtlinien sollten definiert, von der Geschäftsleitung genehmigt, veröffentlicht, dem betreffenden Personal und den interessierten Kreisen mitgeteilt und von diesen zur Kenntnis genommen sowie in geplanten Abständen und bei wesentlichen Änderungen überprüft werden.</t>
  </si>
  <si>
    <t>Sicherstellung der fortwährenden Eignung, Angemessenheit und Wirksamkeit der Leitung und Unterstützung der Informationssicherheit in Übereinstimmung mit den geschäftlichen, rechtlichen, gesetzlichen, regulatorischen und vertraglichen Anforderungen.</t>
  </si>
  <si>
    <t>-</t>
  </si>
  <si>
    <t>A.5.2</t>
  </si>
  <si>
    <t>Rollen und Verantwortlichkeiten im Bereich der Informationssicherheit</t>
  </si>
  <si>
    <t>Die Aufgaben und Zuständigkeiten im Bereich der Informationssicherheit sollten entsprechend den Erfordernissen der Organisation definiert und zugewiesen werden.</t>
  </si>
  <si>
    <t>Schaffung einer definierten, genehmigten und verstandenen Struktur für die Implementierung, den Betrieb und die Verwaltung der Informationssicherheit innerhalb der Organisation.</t>
  </si>
  <si>
    <t>A.5.3</t>
  </si>
  <si>
    <t>Trennung der Aufgaben</t>
  </si>
  <si>
    <t>Sich widersprechende Aufgaben und Verantwortungsbereiche sollten getrennt werden.</t>
  </si>
  <si>
    <t>Verringerung des Risikos von Betrug, Fehlern und Umgehung von Informationssicherheitskontrollen.</t>
  </si>
  <si>
    <t>A.5.4</t>
  </si>
  <si>
    <t>Verantwortlichkeiten des Managements</t>
  </si>
  <si>
    <t>Die Geschäftsleitung sollte von allen Mitarbeitern verlangen, dass sie die Informationssicherheit in Übereinstimmung mit der festgelegten Informationssicherheitspolitik und den themenspezifischen Richtlinien und Verfahren der Organisation anwenden.</t>
  </si>
  <si>
    <t>Sicherstellen, dass das Management seine Rolle im Bereich der Informationssicherheit versteht und Massnahmen ergreift, die sicherstellen, dass alle Mitarbeiter ihre Verantwortung für die Informationssicherheit kennen und erfüllen.</t>
  </si>
  <si>
    <t>A.5.5</t>
  </si>
  <si>
    <t>Kontakt mit Behörden</t>
  </si>
  <si>
    <t>Die Organisation sollte den Kontakt zu den zuständigen Behörden herstellen und aufrechterhalten.</t>
  </si>
  <si>
    <t>Gewährleistung eines angemessenen Informationsflusses in Bezug auf die Informationssicherheit zwischen der Organisation und den zuständigen Rechts-, Regulierungs- und Aufsichtsbehörden.</t>
  </si>
  <si>
    <t>A.5.6</t>
  </si>
  <si>
    <t>Kontakt mit speziellen Interessengruppen</t>
  </si>
  <si>
    <t>Die Organisation soll Kontakte zu speziellen Interessengruppen oder anderen spezialisierten Sicherheitsforen und Berufsverbänden aufbauen und pflegen.</t>
  </si>
  <si>
    <t>Sicherstellung eines angemessenen Informationsflusses in Bezug auf die Informationssicherheit.</t>
  </si>
  <si>
    <t>A.5.7</t>
  </si>
  <si>
    <t>Informationen über Bedrohungen</t>
  </si>
  <si>
    <t>Informationen über Bedrohungen der Informationssicherheit sollten gesammelt und analysiert werden, um Bedrohungsinformationen zu erhalten.</t>
  </si>
  <si>
    <t>Schaffung eines Bewusstseins für die Bedrohungslage der Organisation, so dass geeignete Abhilfemassnahmen ergriffen werden können.</t>
  </si>
  <si>
    <t>A.5.8</t>
  </si>
  <si>
    <t>Informationssicherheit in der Projektleitung</t>
  </si>
  <si>
    <t>Die Informationssicherheit sollte in das Projektmanagement integriert werden.</t>
  </si>
  <si>
    <t>Sicherstellung, dass Informationssicherheitsrisiken im Zusammenhang mit Projekten und Leistungen im Rahmen des Projektmanagements während des gesamten Projektlebenszyklus wirksam behandelt werden.</t>
  </si>
  <si>
    <t>A.5.9</t>
  </si>
  <si>
    <t>Inventarisierung von Informationen und anderen zugehörigen Vermögenswerten</t>
  </si>
  <si>
    <t>Es sollte ein Inventar der Informationen und anderer zugehöriger Vermögenswerte, einschliesslich der Eigentümer, erstellt und gepflegt werden.</t>
  </si>
  <si>
    <t>Identifizierung der Informationen und anderer zugehöriger Vermögenswerte der Organisation, um deren Informationssicherheit zu gewährleisten und entsprechende Eigentumsrechte zuzuweisen.</t>
  </si>
  <si>
    <t>A.5.10</t>
  </si>
  <si>
    <t>Zulässige Nutzung von Informationen und anderen zugehörigen Vermögenswerten</t>
  </si>
  <si>
    <t>Es sollten Regeln für die zulässige Nutzung und Verfahren für den Umgang mit Informationen und anderen zugehörigen Gütern festgelegt, dokumentiert und umgesetzt werden.</t>
  </si>
  <si>
    <t>Sicherstellen, dass Informationen und andere zugehörige Vermögenswerte angemessen geschützt, genutzt und gehandhabt werden.</t>
  </si>
  <si>
    <t>A.5.11</t>
  </si>
  <si>
    <t>Rückgabe von Vermögenswerten</t>
  </si>
  <si>
    <t>Das Personal und gegebenenfalls andere interessierte Parteien sollten alle Vermögenswerte der Organisation, die sich in ihrem Besitz befinden, bei Wechsel oder Beendigung ihres Beschäftigungsverhältnisses, Vertrags oder ihrer Vereinbarung zurückgeben.</t>
  </si>
  <si>
    <t>Schutz der Vermögenswerte der Organisation als Teil des Prozesses der Änderung oder Beendigung von Arbeitsverhältnissen, Verträgen oder Vereinbarungen.</t>
  </si>
  <si>
    <t>A.5.12</t>
  </si>
  <si>
    <t>Klassifizierung von Informationen</t>
  </si>
  <si>
    <t>Informationen sollten entsprechend den Informationssicherheitsanforderungen der Organisation auf der Grundlage von Vertraulichkeit, Integrität, Verfügbarkeit und relevanten Anforderungen der interessierten Parteien klassifiziert werden.</t>
  </si>
  <si>
    <t>Sicherstellung der Identifizierung und des Verständnisses des Schutzbedarfs von Informationen entsprechend ihrer Bedeutung für die Organisation.</t>
  </si>
  <si>
    <t>A.5.13</t>
  </si>
  <si>
    <t>Kennzeichnung von Informationen</t>
  </si>
  <si>
    <t>In Übereinstimmung mit dem von der Organisation angenommenen Informationsklassifizierungsschema sind geeignete Verfahren zur Kennzeichnung von Informationen zu entwickeln und umzusetzen.</t>
  </si>
  <si>
    <t>Erleichterung der Kommunikation bei der Klassifizierung von Informationen und Unterstützung der Automatisierung der Informationsverarbeitung und -verwaltung.</t>
  </si>
  <si>
    <t>A.5.14</t>
  </si>
  <si>
    <t>Weitergabe von Informationen</t>
  </si>
  <si>
    <t>Für alle Arten von Übermittlungseinrichtungen innerhalb der Organisation sowie zwischen der Organisation und anderen Parteien sollten Regeln, Verfahren oder Vereinbarungen für die Informationsübermittlung bestehen.</t>
  </si>
  <si>
    <t>Aufrechterhaltung der Sicherheit von Informationen, die innerhalb einer Organisation und mit externen Interessenten ausgetauscht werden.</t>
  </si>
  <si>
    <t>A.5.15</t>
  </si>
  <si>
    <t>Zugangskontrolle</t>
  </si>
  <si>
    <t>Regeln zur Kontrolle des physischen und logischen Zugriffs auf Informationen und andere zugehörige Vermögenswerte sollten auf der Grundlage von Geschäfts- und Informationssicherheitsanforderungen aufgestellt und umgesetzt werden.</t>
  </si>
  <si>
    <t>Sicherstellung des autorisierten Zugriffs und Verhinderung des unbefugten Zugriffs auf Informationen und andere zugehörige Vermögenswerte.</t>
  </si>
  <si>
    <t>A.5.16</t>
  </si>
  <si>
    <t>Identitätsmanagement</t>
  </si>
  <si>
    <t>Der gesamte Lebenszyklus von Identitäten sollte verwaltet werden.</t>
  </si>
  <si>
    <t>Ermöglichung der eindeutigen Identifizierung von Personen und Systemen, die auf die Informationen der Organisation und andere zugehörige Werte zugreifen, sowie die angemessene Zuweisung von Zugriffsrechten.</t>
  </si>
  <si>
    <t>A.5.17</t>
  </si>
  <si>
    <t>Informationen zur Authentifizierung</t>
  </si>
  <si>
    <t>Die Zuweisung und Verwaltung von Authentifizierungsinformationen sollte durch einen Managementprozess gesteuert werden, der auch die Beratung des Personals über den angemessenen Umgang mit Authentifizierungsinformationen umfasst.</t>
  </si>
  <si>
    <t>Sicherstellung einer ordnungsgemässen Authentifizierung von Einheiten und Verhinderung von Fehlern bei Authentifizierungsprozessen.</t>
  </si>
  <si>
    <t>A.5.18</t>
  </si>
  <si>
    <t>Zugriffsrechte</t>
  </si>
  <si>
    <t>Zugriffsrechte auf Informationen und andere zugehörige Ressourcen sollten in Übereinstimmung mit den themenspezifischen Richtlinien und Regeln der Organisation für die Zugriffskontrolle bereitgestellt, überprüft, geändert und entfernt werden.</t>
  </si>
  <si>
    <t>Sicherstellen, dass der Zugriff auf Informationen und andere zugehörige Werte entsprechend den geschäftlichen Anforderungen definiert und autorisiert wird.</t>
  </si>
  <si>
    <t>A.5.19</t>
  </si>
  <si>
    <t>Informationssicherheit in Lieferantenbeziehungen</t>
  </si>
  <si>
    <t>Es sollten Prozesse und Verfahren definiert und implementiert werden, um die Informationssicherheitsrisiken, die mit der Nutzung der Produkte oder Dienstleistungen des Lieferanten verbunden sind, zu verwalten.</t>
  </si>
  <si>
    <t>Aufrechterhaltung eines vereinbarten Niveaus der Informationssicherheit in den Lieferantenbeziehungen.</t>
  </si>
  <si>
    <t>A.5.20</t>
  </si>
  <si>
    <t>Berücksichtigung der Informationssicherheit in Lieferantenvereinbarungen</t>
  </si>
  <si>
    <t>Je nach Art der Lieferantenbeziehung sollten die entsprechenden Anforderungen an die Informationssicherheit festgelegt und mit jedem Lieferanten vereinbart werden.</t>
  </si>
  <si>
    <t>A.5.21</t>
  </si>
  <si>
    <t>Management der Informationssicherheit in der ICT-Lieferkette</t>
  </si>
  <si>
    <t>Es sollten Prozesse und Verfahren definiert und implementiert werden, um die Informationssicherheitsrisiken, die mit der Lieferkette von IKT-Produkten und -Dienstleistungen verbunden sind, zu managen.</t>
  </si>
  <si>
    <t>A.5.22</t>
  </si>
  <si>
    <t>Überwachung, Überprüfung und Änderungsmanagement von Lieferantendienstleistungen</t>
  </si>
  <si>
    <t>Die Organisation sollte die Informationssicherheitspraktiken und die Leistungserbringung der Lieferanten regelmässig überwachen, überprüfen, bewerten und Änderungen steuern.</t>
  </si>
  <si>
    <t>Aufrechterhaltung eines vereinbarten Niveaus der Informationssicherheit und der Dienstleistungserbringung in Übereinstimmung mit den Lieferantenvereinbarungen.</t>
  </si>
  <si>
    <t>A.5.23</t>
  </si>
  <si>
    <t>Informationssicherheit bei der Nutzung von Cloud-Diensten</t>
  </si>
  <si>
    <t>Prozesse für den Erwerb, die Nutzung, die Verwaltung und den Ausstieg aus Cloud-Diensten sollen in Übereinstimmung mit den Informationssicherheitsanforderungen der Organisation festgelegt werden.</t>
  </si>
  <si>
    <t>Festlegung und Verwaltung der Informationssicherheit bei der Nutzung von Cloud-Diensten.</t>
  </si>
  <si>
    <t>A.5.24</t>
  </si>
  <si>
    <t>Planung und Vorbereitung des Managements von Informationssicherheitsvorfällen</t>
  </si>
  <si>
    <t>Die Organisation soll das Management von Informationssicherheitsvorfällen planen und vorbereiten, indem sie Prozesse, Rollen und Verantwortlichkeiten für das Management von Informationssicherheitsvorfällen definiert, einführt und kommuniziert.</t>
  </si>
  <si>
    <t>Gewährleistung einer schnellen, effektiven, konsistenten und ordnungsgemässen Reaktion auf Informationssicherheitsvorfälle, einschliesslich der Kommunikation über Informationssicherheitsvorfälle.</t>
  </si>
  <si>
    <t>A.5.25</t>
  </si>
  <si>
    <t>Bewertung und Entscheidung über Informationssicherheitsvorfälle</t>
  </si>
  <si>
    <t>Die Organisation sollte Ereignisse im Bereich der Informationssicherheit bewerten und entscheiden, ob sie als Informationssicherheitsvorfälle zu kategorisieren sind.</t>
  </si>
  <si>
    <t>Gewährleistung einer effektiven Kategorisierung und Priorisierung von Informationssicherheitsvorfällen.</t>
  </si>
  <si>
    <t>A.5.26</t>
  </si>
  <si>
    <t>Reaktion auf Informationssicherheitsvorfälle</t>
  </si>
  <si>
    <t>Auf Informationssicherheitsvorfälle sollte in Übereinstimmung mit den dokumentierten Verfahren reagiert werden.</t>
  </si>
  <si>
    <t>Gewährleistung einer effizienten und effektiven Reaktion auf Informationssicherheitsvorfälle.</t>
  </si>
  <si>
    <t>A.5.27</t>
  </si>
  <si>
    <t>Lernen aus Informationssicherheitsvorfällen</t>
  </si>
  <si>
    <t>Die aus Informationssicherheitsvorfällen gewonnenen Erkenntnisse sollten zur Stärkung und Verbesserung der Informationssicherheitskontrollen genutzt werden.</t>
  </si>
  <si>
    <t>Verringerung der Wahrscheinlichkeit und der Folgen künftiger Vorfälle.</t>
  </si>
  <si>
    <t>A.5.28</t>
  </si>
  <si>
    <t>Sammlung von Beweisen</t>
  </si>
  <si>
    <t>Die Organisation sollte Verfahren für die Identifizierung, Sammlung, Beschaffung und Aufbewahrung von Beweisen im Zusammenhang mit Informationssicherheitsvorfällen einführen und umsetzen.</t>
  </si>
  <si>
    <t>Sicherstellung einer konsistenten und effektiven Verwaltung von Beweismitteln im Zusammenhang mit Informationssicherheitsvorfällen für disziplinarische und rechtliche Massnahmen.</t>
  </si>
  <si>
    <t>A.5.29</t>
  </si>
  <si>
    <t>Informationssicherheit bei Unterbrechungen</t>
  </si>
  <si>
    <t>Die Organisation sollte planen, wie die Informationssicherheit während einer Unterbrechung auf einem angemessenen Niveau gehalten werden kann.</t>
  </si>
  <si>
    <t>Schutz von Informationen und anderen zugehörigen Vermögenswerten bei Unterbrechungen.</t>
  </si>
  <si>
    <t>A.5.30</t>
  </si>
  <si>
    <t>ICT-Bereitschaft für die Geschäftskontinuität</t>
  </si>
  <si>
    <t>Die IKT-Bereitschaft sollte auf der Grundlage von Geschäftskontinuitätszielen und IKT-Kontinuitätsanforderungen geplant, umgesetzt, aufrechterhalten und getestet werden.</t>
  </si>
  <si>
    <t>Sicherstellung der Verfügbarkeit der Informationen und anderer zugehöriger Vermögenswerte der Organisation während einer Störung.</t>
  </si>
  <si>
    <t>A.5.31</t>
  </si>
  <si>
    <t>Rechtliche, gesetzliche, regulatorische und vertragliche Anforderungen</t>
  </si>
  <si>
    <t>Rechtliche, gesetzliche, behördliche und vertragliche Anforderungen, die für die Informationssicherheit relevant sind, und der Ansatz der Organisation zur Erfüllung dieser Anforderungen sollen ermittelt, dokumentiert und auf dem neuesten Stand gehalten werden.</t>
  </si>
  <si>
    <t>Gewährleistung der Einhaltung rechtlicher, gesetzlicher, regulatorischer und vertraglicher Anforderungen in Bezug auf die Informationssicherheit.</t>
  </si>
  <si>
    <t>A.5.32</t>
  </si>
  <si>
    <t>Rechte an geistigem Eigentum</t>
  </si>
  <si>
    <t>Die Organisation sollte geeignete Verfahren zum Schutz der Rechte an geistigem Eigentum einführen.</t>
  </si>
  <si>
    <t>Sicherstellung der Einhaltung rechtlicher, gesetzlicher, behördlicher und vertraglicher Anforderungen in Bezug auf geistige Eigentumsrechte und die Verwendung geschützter Produkte.</t>
  </si>
  <si>
    <t>A.5.33</t>
  </si>
  <si>
    <t>Schutz von Aufzeichnungen</t>
  </si>
  <si>
    <t>Aufzeichnungen sollten vor Verlust, Zerstörung, Fälschung, unbefugtem Zugriff und unbefugter Freigabe geschützt werden.</t>
  </si>
  <si>
    <t>Sicherstellung der Einhaltung rechtlicher, gesetzlicher, behördlicher und vertraglicher Anforderungen sowie gesellschaftlicher Erwartungen in Bezug auf den Schutz und die Verfügbarkeit von Unterlagen.</t>
  </si>
  <si>
    <t>A.5.34</t>
  </si>
  <si>
    <t>Privatsphäre und Schutz von personenbezogenen Daten</t>
  </si>
  <si>
    <t>Die Organisation sollte die Anforderungen an die Wahrung der Privatsphäre und den Schutz personenbezogener Daten gemäss den geltenden Gesetzen und Vorschriften sowie den vertraglichen Anforderungen ermitteln und erfüllen.</t>
  </si>
  <si>
    <t>Gewährleistung der Einhaltung rechtlicher, gesetzlicher, behördlicher und vertraglicher Anforderungen in Bezug auf die Informationssicherheitsaspekte des Schutzes von personenbezogenen Daten.</t>
  </si>
  <si>
    <t>A.5.35</t>
  </si>
  <si>
    <t>Unabhängige Überprüfung der Informationssicherheit</t>
  </si>
  <si>
    <t>Der Ansatz der Organisation zur Verwaltung der Informationssicherheit und seine Umsetzung, einschliesslich der Mitarbeiter, Prozesse und Technologien, sollte in geplanten Abständen oder bei wesentlichen Änderungen unabhängig überprüft werden.</t>
  </si>
  <si>
    <t>Sicherstellung der fortwährenden Eignung, Angemessenheit und Wirksamkeit des Ansatzes der Organisation zur Verwaltung der Informationssicherheit.</t>
  </si>
  <si>
    <t>A.5.36</t>
  </si>
  <si>
    <t>Einhaltung von Richtlinien, Vorschriften und Standards für die Informationssicherheit</t>
  </si>
  <si>
    <t>Die Einhaltung der Informationssicherheitspolitik der Organisation, themenspezifischer Richtlinien, Regeln und Standards sollte regelmässig überprüft werden.</t>
  </si>
  <si>
    <t>Sicherstellung, dass die Informationssicherheit in Übereinstimmung mit der Informationssicherheitspolitik der Organisation, themenspezifischen Richtlinien, Regeln und Standards umgesetzt und betrieben wird.</t>
  </si>
  <si>
    <t>A.5.37</t>
  </si>
  <si>
    <t>Dokumentierte Betriebsverfahren</t>
  </si>
  <si>
    <t>Die Betriebsverfahren für Informationsverarbeitungsanlagen sollten dokumentiert und den Mitarbeitern, die sie benötigen, zur Verfügung gestellt werden.</t>
  </si>
  <si>
    <t>Gewährleistung des ordnungsgemässen und sicheren Betriebs von Informationsverarbeitungseinrichtungen.</t>
  </si>
  <si>
    <t>6 Personelle Controls</t>
  </si>
  <si>
    <t>A.6.1</t>
  </si>
  <si>
    <t>Überprüfung</t>
  </si>
  <si>
    <t>Die Überprüfung des Hintergrunds aller Kandidaten für die Einstellung von Personal sollte vor dem Eintritt in die Organisation und fortlaufend unter Berücksichtigung der geltenden Gesetze, Vorschriften und ethischen Grundsätze erfolgen und in einem angemessenen Verhältnis zu den Geschäftsanforderungen, der Klassifizierung der Informationen, auf die zugegriffen werden soll, und den wahrgenommenen Risiken stehen.</t>
  </si>
  <si>
    <t>Sicherstellen, dass alle Mitarbeiter für die Aufgaben, für die sie in Frage kommen, geeignet sind und während ihrer Beschäftigung geeignet bleiben.</t>
  </si>
  <si>
    <t>A.6.2</t>
  </si>
  <si>
    <t>Beschäftigungsbedingungen</t>
  </si>
  <si>
    <t>In den arbeitsvertraglichen Vereinbarungen sollten die Verantwortlichkeiten des Personals und der Organisation für die Informationssicherheit festgelegt werden.</t>
  </si>
  <si>
    <t>Sicherstellen, dass die Mitarbeiter ihre Verantwortlichkeiten im Bereich der Informationssicherheit für die Aufgaben, für die sie in Betracht gezogen werden, verstehen.</t>
  </si>
  <si>
    <t>A.6.3</t>
  </si>
  <si>
    <t>Bewusstsein für Informationssicherheit, Ausbildung und Schulung</t>
  </si>
  <si>
    <t>Das Personal der Organisation und relevante interessierte Parteien sollten ein angemessenes Bewusstsein für die Informationssicherheit, eine entsprechende Ausbildung und Schulung sowie regelmässige Aktualisierungen der Informationssicherheitspolitik der Organisation, themenspezifischer Richtlinien und Verfahren erhalten, die für ihre jeweilige Funktion relevant sind.</t>
  </si>
  <si>
    <t>Sicherstellen, dass das Personal und relevante interessierte Parteien sich ihrer Verantwortung für die Informationssicherheit bewusst sind und diese erfüllen.</t>
  </si>
  <si>
    <t>A.6.4</t>
  </si>
  <si>
    <t>Disziplinarverfahren</t>
  </si>
  <si>
    <t>Ein Disziplinarverfahren sollte formalisiert und kommuniziert werden, um Massnahmen gegen Mitarbeiter und andere Beteiligte zu ergreifen, die gegen die Informationssicherheitspolitik verstossen haben.</t>
  </si>
  <si>
    <t>Sicherstellen, dass das Personal und andere relevante interessierte Parteien die Konsequenzen eines Verstosses gegen die Informationssicherheitspolitik verstehen, um das Personal und andere relevante interessierte Parteien, die den Verstoss begangen haben, abzuschrecken und angemessen zu behandeln.</t>
  </si>
  <si>
    <t>A.6.5</t>
  </si>
  <si>
    <t>Verantwortlichkeiten nach Beendigung oder Wechsel des Beschäftigungsverhältnisses</t>
  </si>
  <si>
    <t>Verantwortlichkeiten und Pflichten im Bereich der Informationssicherheit, die auch nach Beendigung oder Wechsel des Arbeitsverhältnisses bestehen bleiben, sollten definiert, durchgesetzt und dem betreffenden Personal und anderen Beteiligten mitgeteilt werden.</t>
  </si>
  <si>
    <t>Schutz der Interessen der Organisation im Rahmen des Verfahrens zur Änderung oder Beendigung von Arbeitsverhältnissen oder Verträgen.</t>
  </si>
  <si>
    <t>A.6.6</t>
  </si>
  <si>
    <t>Vertraulichkeits- oder Geheimhaltungsvereinbarungen</t>
  </si>
  <si>
    <t>Vertraulichkeits- oder Geheimhaltungsvereinbarungen, die die Bedürfnisse der Organisation in Bezug auf den Schutz von Informationen widerspiegeln, sollten festgelegt, dokumentiert, regelmässig überprüft und von den Mitarbeitern und anderen relevanten Beteiligten unterzeichnet werden.</t>
  </si>
  <si>
    <t>Wahrung der Vertraulichkeit von Informationen, auf die das Personal oder externe Parteien Zugriff haben.</t>
  </si>
  <si>
    <t>A.6.7</t>
  </si>
  <si>
    <t>Fernarbeit</t>
  </si>
  <si>
    <t>Für Mitarbeiter, die aus der Ferne arbeiten, sollten Sicherheitsmassnahmen ergriffen werden, um Informationen zu schützen, die ausserhalb der Räumlichkeiten der Organisation abgerufen, verarbeitet oder gespeichert werden.</t>
  </si>
  <si>
    <t>Gewährleistung der Sicherheit von Informationen, wenn das Personal aus der Ferne arbeitet.</t>
  </si>
  <si>
    <t>A.6.8</t>
  </si>
  <si>
    <t>Meldung von Informationssicherheitsvorfällen</t>
  </si>
  <si>
    <t>Die Organisation sollte einen Mechanismus vorsehen, der es dem Personal ermöglicht, beobachtete oder vermutete Vorfälle im Bereich der Informationssicherheit über geeignete Kanäle rechtzeitig zu melden.</t>
  </si>
  <si>
    <t>Unterstützung der rechtzeitigen, konsistenten und effektiven Meldung von Ereignissen im Bereich der Informationssicherheit, die vom Personal erkannt werden können.</t>
  </si>
  <si>
    <t>7 Physische Controls</t>
  </si>
  <si>
    <t>A.7.1</t>
  </si>
  <si>
    <t>Physische Sicherheitsabgrenzungen</t>
  </si>
  <si>
    <t>Zum Schutz von Bereichen, die Informationen und andere zugehörige Werte enthalten, sollten Sicherheitsabgrenzungen festgelegt und verwendet werden.</t>
  </si>
  <si>
    <t>Verhinderung des unbefugten physischen Zugriffs, der Beschädigung und des Eingriffs in die Informationen der Organisation und anderer zugehöriger Vermögenswerte.</t>
  </si>
  <si>
    <t>A.7.2</t>
  </si>
  <si>
    <t>Physischer Zutritt</t>
  </si>
  <si>
    <t>Sichere Bereiche sollten durch geeignete Zugangskontrollen und Zugangspunkte geschützt werden.</t>
  </si>
  <si>
    <t>Sicherstellen, dass nur autorisierter physischer Zugang zu den Informationen der Organisation und anderen zugehörigen Vermögenswerten erfolgt.</t>
  </si>
  <si>
    <t>A.7.3</t>
  </si>
  <si>
    <t>Sicherung von Büros, Räumen und Einrichtungen</t>
  </si>
  <si>
    <t>Die physische Sicherheit von Büros, Räumen und Einrichtungen sollte geplant und umgesetzt werden.</t>
  </si>
  <si>
    <t>Verhinderung des unbefugten physischen Zugriffs, der Beschädigung und des Eingriffs in die Informationen der Organisation und andere zugehörige Vermögenswerte in Büros, Räumen und Einrichtungen.</t>
  </si>
  <si>
    <t>A.7.4</t>
  </si>
  <si>
    <t>Überwachung der physischen Sicherheit</t>
  </si>
  <si>
    <t>Die Räumlichkeiten sollten kontinuierlich auf unbefugten physischen Zugang überwacht werden.</t>
  </si>
  <si>
    <t>Aufdeckung und Abschreckung von unbefugtem physischen Zugang.</t>
  </si>
  <si>
    <t>A.7.5</t>
  </si>
  <si>
    <t>Schutz vor physischen und umweltbedingten Bedrohungen</t>
  </si>
  <si>
    <t>Es sollte ein Schutz gegen physische und umweltbedingte Bedrohungen, wie Naturkatastrophen und andere absichtliche oder unabsichtliche physische Bedrohungen der Infrastruktur, konzipiert und umgesetzt werden.</t>
  </si>
  <si>
    <t>Verhinderung oder Minderung der Folgen von Ereignissen, die auf physische und umweltbedingte Bedrohungen zurückzuführen sind.</t>
  </si>
  <si>
    <t>A.7.6</t>
  </si>
  <si>
    <t>Arbeiten in sicheren Bereichen</t>
  </si>
  <si>
    <t>Es sollten Sicherheitsmassnahmen für die Arbeit in Sicherheitsbereichen konzipiert und umgesetzt werden.</t>
  </si>
  <si>
    <t>Schutz von Informationen und anderen zugehörigen Werten in Sicherheitsbereichen vor Beschädigung und unbefugten Eingriffen durch Personal, das in diesen Bereichen arbeitet.</t>
  </si>
  <si>
    <t>A.7.7</t>
  </si>
  <si>
    <t>Freier Schreibtisch und freier Bildschirm</t>
  </si>
  <si>
    <t>Es sollten klare Schreibtischregeln für Papiere und austauschbare Speichermedien und klare Bildschirmregeln für Informationsverarbeitungseinrichtungen festgelegt und angemessen durchgesetzt werden.</t>
  </si>
  <si>
    <t>Verringerung des Risikos des unbefugten Zugriffs, des Verlusts und der Beschädigung von Informationen auf Schreibtischen, Bildschirmen und an anderen zugänglichen Orten während und ausserhalb der normalen Arbeitszeiten.</t>
  </si>
  <si>
    <t>A.7.8</t>
  </si>
  <si>
    <t>Platzierung und Schutz von Geräten</t>
  </si>
  <si>
    <t>Die Ausrüstung sollte sicher und geschützt platziert werden.</t>
  </si>
  <si>
    <t>Verringerung der Risiken durch physische und umweltbedingte Bedrohungen sowie durch unbefugten Zugriff und Beschädigung.</t>
  </si>
  <si>
    <t>A.7.9</t>
  </si>
  <si>
    <t>Sicherheit von Vermögenswerten ausserhalb der Geschäftsräume</t>
  </si>
  <si>
    <t>Vermögenswerte ausserhalb des Standorts sollten geschützt werden.</t>
  </si>
  <si>
    <t>Verhinderung von Verlust, Beschädigung, Diebstahl oder Kompromittierung von externen Geräten und Unterbrechung des Betriebs der Organisation.</t>
  </si>
  <si>
    <t>A.7.10</t>
  </si>
  <si>
    <t>Speichermedien</t>
  </si>
  <si>
    <t>Speichermedien sollten während ihres gesamten Lebenszyklus - Erwerb, Verwendung, Transport und Entsorgung - gemäss dem Klassifizierungsschema und den Handhabungsanforderungen der Organisation verwaltet werden.</t>
  </si>
  <si>
    <t>Sicherstellung, dass Informationen auf Speichermedien nur mit Genehmigung offengelegt, geändert, entfernt oder zerstört werden.</t>
  </si>
  <si>
    <t>A.7.11</t>
  </si>
  <si>
    <t>Unterstützende Hilfsmittel</t>
  </si>
  <si>
    <t>Informationsverarbeitungseinrichtungen sollten vor Stromausfällen und anderen Störungen, die durch Ausfälle der Versorgungseinrichtungen verursacht werden, geschützt werden.</t>
  </si>
  <si>
    <t>Verhinderung des Verlusts, der Beschädigung oder der Beeinträchtigung von Informationen und anderen zugehörigen Vermögenswerten oder der Unterbrechung des Betriebs der Organisation aufgrund von Ausfällen und Störungen der unterstützenden Versorgungseinrichtungen.</t>
  </si>
  <si>
    <t>A.7.12</t>
  </si>
  <si>
    <t>Sicherheit der Verkabelung</t>
  </si>
  <si>
    <t>Kabel, die Strom, Daten oder unterstützende Informationsdienste transportieren, sollten vor Abhören, Störungen oder Beschädigung geschützt werden.</t>
  </si>
  <si>
    <t>Verhinderung des Verlusts, der Beschädigung, des Diebstahls oder der Beeinträchtigung von Informationen und anderen zugehörigen Vermögenswerten sowie der Unterbrechung des Betriebs der Organisation im Zusammenhang mit der Strom- und Kommunikationsverkabelung.</t>
  </si>
  <si>
    <t>A.7.13</t>
  </si>
  <si>
    <t>Wartung der Ausrüstung</t>
  </si>
  <si>
    <t>Die Ausrüstung sollte ordnungsgemäss gewartet werden, um die Verfügbarkeit, Integrität und Vertraulichkeit der Informationen zu gewährleisten.</t>
  </si>
  <si>
    <t>Verhinderung des Verlusts, der Beschädigung, des Diebstahls oder der Beeinträchtigung von Informationen und anderen zugehörigen Vermögenswerten sowie der Unterbrechung des Betriebs der Organisation aufgrund mangelnder Wartung.</t>
  </si>
  <si>
    <t>A.7.14</t>
  </si>
  <si>
    <t>Sichere Entsorgung oder Wiederverwendung von Geräten</t>
  </si>
  <si>
    <t>Ausrüstungsgegenstände, die Speichermedien enthalten, sollten überprüft werden, um sicherzustellen, dass alle sensiblen Daten und lizenzierte Software vor der Entsorgung oder Wiederverwendung entfernt oder sicher überschrieben worden sind.</t>
  </si>
  <si>
    <t>Verhinderung des Austretens von Informationen aus Geräten, die entsorgt oder wiederverwendet werden sollen.</t>
  </si>
  <si>
    <t>8 Technologische Controls</t>
  </si>
  <si>
    <t>A.8.1</t>
  </si>
  <si>
    <t>Benutzer-Endgeräte</t>
  </si>
  <si>
    <t>Informationen, die auf Endgeräten von Benutzern gespeichert sind, von ihnen verarbeitet werden oder über sie zugänglich sind, sollten geschützt werden.</t>
  </si>
  <si>
    <t>Schutz von Informationen vor den Risiken, die durch die Verwendung von Benutzerendgeräten entstehen.</t>
  </si>
  <si>
    <t>A.8.2</t>
  </si>
  <si>
    <t>Privilegierte Zugriffsrechte</t>
  </si>
  <si>
    <t>Die Vergabe und Nutzung von privilegierten Zugriffsrechten sollte eingeschränkt und verwaltet werden.</t>
  </si>
  <si>
    <t>Sicherstellen, dass nur autorisierte Benutzer, Softwarekomponenten und Dienste mit privilegierten Zugriffsrechten ausgestattet sind.</t>
  </si>
  <si>
    <t>A.8.3</t>
  </si>
  <si>
    <t>Beschränkung des Informationszugangs</t>
  </si>
  <si>
    <t>Der Zugang zu Informationen und anderen zugehörigen Vermögenswerten sollte in Übereinstimmung mit der festgelegten themenspezifischen Richtlinie zur Zugangskontrolle eingeschränkt werden.</t>
  </si>
  <si>
    <t>Sicherstellen, dass nur autorisierter Zugriff möglich ist, und Verhindern des unbefugten Zugriffs auf Informationen und andere zugehörige Werte.</t>
  </si>
  <si>
    <t>A.8.4</t>
  </si>
  <si>
    <t>Zugang zum Quellcode</t>
  </si>
  <si>
    <t>Der Lese- und Schreibzugriff auf Quellcode, Entwicklungswerkzeuge und Softwarebibliotheken sollte angemessen verwaltet werden.</t>
  </si>
  <si>
    <t>Verhinderung der Einführung nicht autorisierter Funktionen, Vermeidung unbeabsichtigter oder böswilliger Änderungen und Wahrung der Vertraulichkeit von wertvollem geistigem Eigentum.</t>
  </si>
  <si>
    <t>A.8.5</t>
  </si>
  <si>
    <t>Sichere Authentifizierung</t>
  </si>
  <si>
    <t>Sichere Authentifizierungstechnologien und -verfahren sollten auf der Grundlage von Informationszugangsbeschränkungen und der themenspezifischen Richtlinie zur Zugangskontrolle implementiert werden.</t>
  </si>
  <si>
    <t>Sicherstellung, dass ein Benutzer oder eine Einrichtung sicher authentifiziert ist, wenn der Zugriff auf Systeme, Anwendungen und Dienste gewährt wird.</t>
  </si>
  <si>
    <t>A.8.6</t>
  </si>
  <si>
    <t>Kapazitätsmanagement</t>
  </si>
  <si>
    <t>Die Ressourcennutzung sollte überwacht und entsprechend den aktuellen und erwarteten Kapazitätsanforderungen angepasst werden.</t>
  </si>
  <si>
    <t>Sicherstellung der erforderlichen Kapazität von Informationsverarbeitungsanlagen, Personal, Büros und anderen Einrichtungen.</t>
  </si>
  <si>
    <t>A.8.7</t>
  </si>
  <si>
    <t>Schutz vor Malware</t>
  </si>
  <si>
    <t>Der Schutz vor Schadsoftware sollte implementiert und durch eine angemessene Sensibilisierung der Nutzer unterstützt werden.</t>
  </si>
  <si>
    <t>Sicherstellung des Schutzes von Informationen und anderen zugehörigen Vermögenswerten vor Schadsoftware.</t>
  </si>
  <si>
    <t>A.8.8</t>
  </si>
  <si>
    <t>Management von technischen Schwachstellen</t>
  </si>
  <si>
    <t>Es sollten Informationen über technische Schwachstellen der verwendeten Informationssysteme eingeholt, die Gefährdung der Organisation durch solche Schwachstellen bewertet und geeignete Massnahmen ergriffen werden.</t>
  </si>
  <si>
    <t>Verhinderung der Ausnutzung von technischen Schwachstellen.</t>
  </si>
  <si>
    <t>A.8.9</t>
  </si>
  <si>
    <t>Verwaltung von Konfigurationen</t>
  </si>
  <si>
    <t>Konfigurationen, einschliesslich Sicherheitskonfigurationen, von Hardware, Software, Diensten und Netzen sollten festgelegt, dokumentiert, umgesetzt, überwacht und überprüft werden.</t>
  </si>
  <si>
    <t>Sicherstellen, dass Hardware, Software, Dienste und Netzwerke mit den erforderlichen Sicherheitseinstellungen korrekt funktionieren und die Konfiguration nicht durch unbefugte oder falsche Änderungen verändert wird.</t>
  </si>
  <si>
    <t>A.8.10</t>
  </si>
  <si>
    <t>Löschung von Informationen</t>
  </si>
  <si>
    <t>In Informationssystemen, Geräten oder anderen Speichermedien gespeicherte Informationen sollten gelöscht werden, wenn sie nicht mehr benötigt werden.</t>
  </si>
  <si>
    <t>Verhinderung der unnötigen Offenlegung sensibler Daten und Einhaltung rechtlicher, gesetzlicher, behördlicher und vertraglicher Anforderungen an die Löschung von Daten.</t>
  </si>
  <si>
    <t>A.8.11</t>
  </si>
  <si>
    <t>Maskierung von Daten</t>
  </si>
  <si>
    <t>Datenmaskierung sollte in Übereinstimmung mit den themenspezifischen Richtlinien der Organisation zur Zugriffskontrolle und anderen damit verbundenen themenspezifischen Richtlinien sowie den geschäftlichen Anforderungen und unter Berücksichtigung der geltenden Gesetze eingesetzt werden.</t>
  </si>
  <si>
    <t>Begrenzung der Offenlegung sensibler Daten, einschliesslich personenbezogener Daten, und Einhaltung rechtlicher, gesetzlicher, behördlicher und vertraglicher Anforderungen.</t>
  </si>
  <si>
    <t>A.8.12</t>
  </si>
  <si>
    <t>Verhinderung von Datenverlusten</t>
  </si>
  <si>
    <t>Massnahmen zur Verhinderung von Datenlecks sollten auf Systeme, Netzwerke und alle anderen Geräte angewendet werden, die sensible Informationen verarbeiten, speichern oder übertragen.</t>
  </si>
  <si>
    <t>Aufdeckung und Verhinderung der unbefugten Offenlegung und Extraktion von Informationen durch Personen oder Systeme.</t>
  </si>
  <si>
    <t>A.8.13</t>
  </si>
  <si>
    <t>Sicherung von Informationen</t>
  </si>
  <si>
    <t>Sicherungskopien von Informationen, Software und Systemen sollten in Übereinstimmung mit den vereinbarten themenspezifischen Grundsätzen zur Datensicherung aufbewahrt und regelmässig getestet werden.</t>
  </si>
  <si>
    <t>Ermöglichung der Wiederherstellung nach einem Daten- oder Systemverlust.</t>
  </si>
  <si>
    <t>A.8.14</t>
  </si>
  <si>
    <t>Redundanz von Informationsverarbeitungseinrichtungen</t>
  </si>
  <si>
    <t>Einrichtungen zur Informationsverarbeitung sollten mit ausreichender Redundanz implementiert werden, um die Verfügbarkeitsanforderungen zu erfüllen.</t>
  </si>
  <si>
    <t>Sicherstellung des kontinuierlichen Betriebs von Informationsverarbeitungseinrichtungen.</t>
  </si>
  <si>
    <t>A.8.15</t>
  </si>
  <si>
    <t>Protokollierung</t>
  </si>
  <si>
    <t>Protokolle, die Aktivitäten, Ausnahmen, Fehler und andere relevante Ereignisse aufzeichnen, sollten erstellt, gespeichert, geschützt und analysiert werden.</t>
  </si>
  <si>
    <t>Aufzeichnung von Ereignissen, Generierung von Beweisen, Gewährleistung der Integrität von Protokolldaten, Schutz vor unbefugtem Zugriff, Identifizierung von Informationssicherheitsereignissen, die zu einem Informationssicherheitsvorfall führen können, und Unterstützung von Untersuchungen.</t>
  </si>
  <si>
    <t>A.8.16</t>
  </si>
  <si>
    <t>Überwachung von Aktivitäten</t>
  </si>
  <si>
    <t>Netze, Systeme und Anwendungen sollten auf anomales Verhalten hin überwacht und geeignete Massnahmen ergriffen werden, um potenzielle Informationssicherheitsvorfälle zu bewerten.</t>
  </si>
  <si>
    <t>Erkennen von anormalem Verhalten und potenziellen Informationssicherheitsvorfällen.</t>
  </si>
  <si>
    <t>A.8.17</t>
  </si>
  <si>
    <t>Synchronisierung der Uhr</t>
  </si>
  <si>
    <t>Die Uhren der von der Organisation verwendeten Informationsverarbeitungssysteme sollten mit zugelassenen Zeitquellen synchronisiert werden.</t>
  </si>
  <si>
    <t>Ermöglichung der Korrelation und Analyse von sicherheitsrelevanten Ereignissen und anderen aufgezeichneten Daten sowie Unterstützung bei der Untersuchung von Informationssicherheitsvorfällen.</t>
  </si>
  <si>
    <t>A.8.18</t>
  </si>
  <si>
    <t>Verwendung von privilegierten Dienstprogrammen</t>
  </si>
  <si>
    <t>Die Verwendung von Hilfsprogrammen, die in der Lage sind, System- und Anwendungskontrollen ausser Kraft zu setzen, sollte eingeschränkt und streng kontrolliert werden.</t>
  </si>
  <si>
    <t>Sicherstellen, dass die Verwendung von Hilfsprogrammen die System- und Anwendungskontrollen für die Informationssicherheit nicht beeinträchtigt.</t>
  </si>
  <si>
    <t>A.8.19</t>
  </si>
  <si>
    <t>Installation von Software auf operativen Systemen</t>
  </si>
  <si>
    <t>Es sollten Verfahren und Massnahmen eingeführt werden, um die Installation von Software auf operativen Systemen sicher zu verwalten.</t>
  </si>
  <si>
    <t>Sicherstellung der Integrität der operativen Systeme und Verhinderung der Ausnutzung technischer Schwachstellen.</t>
  </si>
  <si>
    <t>A.8.20</t>
  </si>
  <si>
    <t>Sicherheit von Netzwerken</t>
  </si>
  <si>
    <t>Netzwerke und Netzwerkgeräte sollten gesichert, verwaltet und kontrolliert werden, um Informationen in Systemen und Anwendungen zu schützen.</t>
  </si>
  <si>
    <t>Schutz von Informationen in Netzwerken und den sie unterstützenden Informationsverarbeitungseinrichtungen vor Kompromittierung über das Netzwerk.</t>
  </si>
  <si>
    <t>A.8.21</t>
  </si>
  <si>
    <t>Sicherheit von Netzwerkdiensten</t>
  </si>
  <si>
    <t>Es sollten Sicherheitsmechanismen, Dienstgüteklassen und Dienstanforderungen für Netzdienste ermittelt, umgesetzt und überwacht werden.</t>
  </si>
  <si>
    <t>Gewährleistung der Sicherheit bei der Nutzung von Netzdiensten.</t>
  </si>
  <si>
    <t>A.8.22</t>
  </si>
  <si>
    <t>Trennung von Netzwerken</t>
  </si>
  <si>
    <t>Gruppen von Informationsdiensten, Benutzern und Informationssystemen sollten in den Netzwerken der Organisation getrennt werden.</t>
  </si>
  <si>
    <t>Aufteilung des Netzes in Sicherheitsgrenzen und Kontrolle des Datenverkehrs zwischen diesen Grenzen auf der Grundlage von Geschäftsanforderungen.</t>
  </si>
  <si>
    <t>A.8.23</t>
  </si>
  <si>
    <t>Web-Filterung</t>
  </si>
  <si>
    <t>Der Zugang zu externen Websites sollte verwaltet werden, um die Gefährdung durch bösartige Inhalte zu verringern.</t>
  </si>
  <si>
    <t>Schutz der Systeme vor Beeinträchtigung durch Schadsoftware und Verhinderung des Zugriffs auf nicht autorisierte Webressourcen.</t>
  </si>
  <si>
    <t>A.8.24</t>
  </si>
  <si>
    <t>Einsatz von Kryptographie</t>
  </si>
  <si>
    <t>Es sollten Regeln für den wirksamen Einsatz von Kryptographie, einschliesslich der Verwaltung kryptographischer Schlüssel, festgelegt und umgesetzt werden.</t>
  </si>
  <si>
    <t>Sicherstellung des ordnungsgemässen und wirksamen Einsatzes von Kryptographie zum Schutz der Vertraulichkeit, Authentizität oder Integrität von Informationen entsprechend den Geschäfts- und Informationssicherheitsanforderungen und unter Berücksichtigung der rechtlichen, gesetzlichen, behördlichen und vertraglichen Anforderungen in Bezug auf Kryptographie.</t>
  </si>
  <si>
    <t>A.8.25</t>
  </si>
  <si>
    <t>Sicherer Entwicklungslebenszyklus</t>
  </si>
  <si>
    <t>Es sollten Regeln für die sichere Entwicklung von Software und Systemen aufgestellt und angewendet werden.</t>
  </si>
  <si>
    <t>Gewährleistung, dass die Informationssicherheit im Rahmen des sicheren Entwicklungslebenszyklus von Software und Systemen konzipiert und umgesetzt wird.</t>
  </si>
  <si>
    <t>A.8.26</t>
  </si>
  <si>
    <t>Anforderungen an die Anwendungssicherheit</t>
  </si>
  <si>
    <t>Die Anforderungen an die Informationssicherheit sollten bei der Entwicklung oder Beschaffung von Anwendungen ermittelt, spezifiziert und genehmigt werden.</t>
  </si>
  <si>
    <t>Sicherstellung, dass bei der Entwicklung oder Beschaffung von Anwendungen alle Anforderungen an die Informationssicherheit ermittelt und berücksichtigt werden.</t>
  </si>
  <si>
    <t>A.8.27</t>
  </si>
  <si>
    <t>Sichere Systemarchitektur und technische Grundsätze</t>
  </si>
  <si>
    <t>Grundsätze für die Entwicklung sicherer Systeme sollten festgelegt, dokumentiert, gepflegt und auf alle Aktivitäten zur Entwicklung von Informationssystemen angewendet werden.</t>
  </si>
  <si>
    <t>Sicherstellung, dass Informationssysteme innerhalb des Entwicklungslebenszyklus sicher entworfen, implementiert und betrieben werden.</t>
  </si>
  <si>
    <t>A.8.28</t>
  </si>
  <si>
    <t>Sichere Kodierung</t>
  </si>
  <si>
    <t>Bei der Softwareentwicklung sollten Grundsätze der sicheren Kodierung angewandt werden.</t>
  </si>
  <si>
    <t>Sicherstellen, dass Software sicher geschrieben wird, um so die Anzahl potenzieller Sicherheitslücken in der Software zu verringern.</t>
  </si>
  <si>
    <t>A.8.29</t>
  </si>
  <si>
    <t>Sicherheitstests bei Entwicklung und Abnahme</t>
  </si>
  <si>
    <t>Sicherheitstestverfahren sollen definiert und in den Entwicklungslebenszyklus integriert werden.</t>
  </si>
  <si>
    <t>Validierung, ob die Anforderungen an die Informationssicherheit erfüllt sind, wenn Anwendungen oder Code in der Produktionsumgebung eingesetzt werden.</t>
  </si>
  <si>
    <t>A.8.30</t>
  </si>
  <si>
    <t>Ausgelagerte Entwicklung</t>
  </si>
  <si>
    <t>Die Organisation sollte die Aktivitäten im Zusammenhang mit der Entwicklung ausgelagerter Systeme steuern, überwachen und überprüfen.</t>
  </si>
  <si>
    <t>Sicherstellen, dass die von der Organisation geforderten Massnahmen zur Informationssicherheit in der ausgelagerten Systementwicklung umgesetzt werden.</t>
  </si>
  <si>
    <t>A.8.31</t>
  </si>
  <si>
    <t>Trennung von Entwicklungs-, Test- und Produktionsumgebungen</t>
  </si>
  <si>
    <t>Entwicklungs-, Test- und Produktionsumgebungen sollten getrennt und gesichert werden.</t>
  </si>
  <si>
    <t>Schutz der Produktionsumgebung und der Daten vor Beeinträchtigung durch Entwicklungs- und Testaktivitäten.</t>
  </si>
  <si>
    <t>A.8.32</t>
  </si>
  <si>
    <t>Änderungsmanagement</t>
  </si>
  <si>
    <t>Änderungen an Informationsverarbeitungseinrichtungen und Informationssystemen sollten Gegenstand von Änderungsmanagementverfahren sein.</t>
  </si>
  <si>
    <t>Wahrung der Informationssicherheit bei der Durchführung von Änderungen.</t>
  </si>
  <si>
    <t>A.8.33</t>
  </si>
  <si>
    <t>Testinformationen</t>
  </si>
  <si>
    <t>Testinformationen sollten in geeigneter Weise ausgewählt, geschützt und verwaltet werden.</t>
  </si>
  <si>
    <t>Sicherstellung der Relevanz der Tests und des Schutzes der für die Tests verwendeten betrieblichen Informationen.</t>
  </si>
  <si>
    <t>A.8.34</t>
  </si>
  <si>
    <t>Schutz von Informationssystemen bei Audittests</t>
  </si>
  <si>
    <t>Audit-Tests und andere Sicherungsmassnahmen, die eine Bewertung der operativen Systeme beinhalten, sollten zwischen dem Prüfer und dem zuständigen Management geplant und vereinbart werden.</t>
  </si>
  <si>
    <t>Minimierung der Auswirkungen von Audits und anderen Sicherheitsmassnahmen auf operative Systeme und Geschäftsprozesse.</t>
  </si>
  <si>
    <t>Nicht umgesetzt</t>
  </si>
  <si>
    <t>Partiell umgesetzt, nicht vollständig definiert und abgenommen</t>
  </si>
  <si>
    <t>Partiell umgesetzt, vollständig definiert und abgenommen</t>
  </si>
  <si>
    <t>Umgesetzt, vollständig oder grösstenteils umgesetzt, statisch</t>
  </si>
  <si>
    <t>n/a</t>
  </si>
  <si>
    <t>D%$&amp;01_4fe6ca5f285d41d4b6fd47b073c85c7c</t>
  </si>
  <si>
    <t>Bühlmann Stefan_12527__Windows (32-bit) NT 10.00_TIM-N270_stb$$$07102020</t>
  </si>
  <si>
    <t>"y@4!2565"</t>
  </si>
  <si>
    <t>Sörensen Björn_12527_ti8m Office Installation_Windows (32-bit) NT 10.00_TIM-N672_sob$$$14102020</t>
  </si>
  <si>
    <t>"Ttr!273"</t>
  </si>
  <si>
    <t>Bemerkungen</t>
  </si>
  <si>
    <t>Leitfaden / ISO27002 / Umsetzungsempfehlungen</t>
  </si>
  <si>
    <t>Auf höchster Ebene sollte die Organisation eine "Informationssicherheitspolitik" festlegen, die von der obersten Leitung genehmigt wird und den Ansatz der Organisation für das Management ihrer Informationssicherheit darlegt.
Die Informationssicherheitspolitik soll Anforderungen berücksichtigen, die sich aus 
a) der Geschäftsstrategie und den Anforderungen, 
b) Vorschriften, Gesetzen und Verträgen, 
c) den aktuellen und voraussichtlichen Risiken und Bedrohungen der Informationssicherheit ergeben.
Die Informationssicherheitspolitik sollte Aussagen enthalten zu: 
a) Definition der Informationssicherheit; 
b) Informationssicherheitszielen oder dem Rahmen für die Festlegung von Informationssicherheitszielen; 
c) Grundsätzen, die alle Aktivitäten im Zusammenhang mit der Informationssicherheit leiten sollen; 
d) Verpflichtung zur Erfüllung geltender Anforderungen im Zusammenhang mit der Informationssicherheit; 
e) Verpflichtung zur kontinuierlichen Verbesserung des Informationssicherheitsmanagementsystems; f) Zuweisung von Verantwortlichkeiten für das Informationssicherheitsmanagement an definierte Rollen; 
g) Verfahren für die Behandlung von Ausnahmen und Sonderfällen.
Änderungen an der Informationssicherheitspolitik sollten von der obersten Leitung genehmigt werden.
Auf einer niedrigeren Ebene sollte die Informationssicherheitspolitik bei Bedarf durch themenspezifische Richtlinien unterstützt werden, um die Durchführung von Informationssicherheitskontrollen weiter zu regeln. Themenspezifische Richtlinien sind in der Regel so strukturiert, dass sie den Bedürfnissen bestimmter Zielgruppen innerhalb einer Organisation entsprechen oder bestimmte Sicherheitsbereiche abdecken. Themenspezifische Richtlinien sollten auf die Informationssicherheitspolitik der Organisation abgestimmt sein und diese ergänzen.
Beispiele für solche Themen sind: 
a) Zugangskontrolle; 
b) physische und umgebungsbedingte Sicherheit; 
c) Asset Management; 
d) Informationsübertragung; 
e) sichere Konfiguration und Handhabung von Benutzerendgeräten; f) Netzwerksicherheit; 
g) Management von Informationssicherheitsvorfällen; 
h) Backup;
i) Kryptographie und Schlüsselverwaltung; 
j) Klassifizierung und Handhabung von Informationen; 
k) Management von technischen Schwachstellen; 
l) sichere Entwicklung.
Die Verantwortung für die Entwicklung, Überprüfung und Genehmigung der themenspezifischen Richtlinien sollte den zuständigen Mitarbeitern auf der Grundlage ihrer entsprechenden Befugnisse und technischen Kompetenz zugewiesen werden. Die Überprüfung soll die Bewertung von Möglichkeiten zur Verbesserung der Informationssicherheitspolitik und der themenspezifischen Richtlinien der Organisation und des Managements der Informationssicherheit als Reaktion auf Änderungen in folgenden Bereichen umfassen: 
a) Geschäftsstrategie der Organisation; 
b) technisches Umfeld der Organisation; 
c) Vorschriften, Satzungen, Gesetze und Verträge; 
d) Informationssicherheitsrisiken; 
e) aktuelles und prognostiziertes Bedrohungsumfeld für die Informationssicherheit; f) Erkenntnisse aus Ereignissen und Vorfällen im Bereich der Informationssicherheit.
Bei der Überprüfung der Informationssicherheitspolitik und der themenspezifischen Richtlinien sollten die Ergebnisse von Management Reviews und Audits berücksichtigt werden. Die Überprüfung und Aktualisierung anderer damit verbundener Richtlinien sollte in Betracht gezogen werden, wenn eine Richtlinie geändert wird, um die Konsistenz zu wahren.
Die Informationssicherheitspolitik und die themenspezifischen Richtlinien sollten dem zuständigen Personal und den interessierten Kreisen in einer Form mitgeteilt werden, die relevant, zugänglich und für den vorgesehenen Leser verständlich ist. Von den Empfängern der Richtlinien sollte verlangt werden, dass sie bestätigen, dass sie die Richtlinien verstanden haben und sich verpflichten, sie einzuhalten, sofern dies der Fall ist. Die Organisation kann die Formate und Bezeichnungen dieser Richtlinien festlegen, die den Bedürfnissen der Organisation entsprechen. In einigen Organisationen können die Informationssicherheitsrichtlinie und die themenspezifischen Richtlinien in einem einzigen Dokument zusammengefasst werden. Die Organisation kann diese themenspezifischen Richtlinien als Standards, Direktiven, Richtlinien oder andere bezeichnen.
Wenn die Informationssicherheitsrichtlinie oder eine themenspezifische Richtlinie außerhalb der Organisation verteilt wird, sollte darauf geachtet werden, dass vertrauliche Informationen nicht unzulässig offengelegt werden.</t>
  </si>
  <si>
    <t>Die Zuweisung von Rollen und Zuständigkeiten im Bereich der Informationssicherheit sollte in Übereinstimmung mit der Informationssicherheitspolitik und den themenspezifischen Richtlinien erfolgen (siehe 5.1). Die Organisation soll Verantwortlichkeiten definieren und verwalten für:
a) den Schutz von Informationen und anderen zugehörigen Vermögenswerten; 
b) die Durchführung spezifischer Informationssicherheitsprozesse; 
c) Informationssicherheits-Risikomanagement-Aktivitäten und insbesondere die Übernahme von Restrisiken (z.B. an Risikoeigner); 
d) das gesamte Personal, das die Informationen und anderen zugehörigen Vermögenswerte der Organisation nutzt.
Diese Zuständigkeiten sollten erforderlichenfalls durch detailliertere Leitlinien für bestimmte Standorte und Informationsverarbeitungseinrichtungen ergänzt werden. Personen mit zugewiesenen Verantwortlichkeiten für die Informationssicherheit können anderen Personen Sicherheitsaufgaben zuweisen. Sie bleiben jedoch rechenschaftspflichtig und sollten sich vergewissern, dass alle übertragenen Aufgaben korrekt ausgeführt wurden.
Jeder Sicherheitsbereich, für den eine Person verantwortlich ist, sollte definiert, dokumentiert und kommuniziert werden. Es sollten Berechtigungsstufen definiert und dokumentiert werden. Personen, die eine bestimmte Rolle im Bereich der Informationssicherheit übernehmen, sollten über die für diese Rolle erforderlichen Kenntnisse und Fähigkeiten verfügen und dabei unterstützt werden, sich über die Entwicklungen auf dem Laufenden zu halten, die mit dieser Rolle zusammenhängen und für die Erfüllung der mit dieser Rolle verbundenen Aufgaben erforderlich sind.</t>
  </si>
  <si>
    <t>Die Trennung von Aufgaben und Verantwortungsbereichen zielt darauf ab, widersprüchliche Aufgaben zwischen verschiedenen Personen zu trennen, um zu verhindern, dass eine Person potenziell widersprüchliche Aufgaben allein ausführt.
Die Organisation sollte festlegen, welche Aufgaben und Verantwortungsbereiche getrennt werden müssen. Im Folgenden werden Beispiele für Tätigkeiten genannt, die eine Trennung erfordern können:
a) Initiieren, Genehmigen und Ausführen einer Änderung; 
b) Beantragen, Genehmigen und Implementieren von Zugriffsrechten; 
c) Entwerfen, Implementieren und Überprüfen von Code; 
d) Entwickeln von Software und Verwalten von Produktionssystemen; 
e) Verwenden und Verwalten von Anwendungen; 
f) Verwenden von Anwendungen und Verwalten von Datenbanken; 
g) Entwerfen, Prüfen und Sicherstellen von Informationssicherheitskontrollen.
Bei der Ausarbeitung der Kontrollen zur Aufgabentrennung sollte die 
Möglichkeit von Absprachen berücksichtigt werden. In kleinen Organisationen kann eine Aufgabentrennung schwierig zu erreichen sein, aber das Prinzip sollte so weit wie möglich und praktikabel angewandt werden. In Fällen, in denen eine Aufgabentrennung schwierig ist, sollten andere Kontrollen in Betracht gezogen werden, z. B. die Überwachung von Tätigkeiten, Prüfpfade und die Aufsicht durch das Management.
Bei der Verwendung von rollenbasierten Zugangskontrollsystemen sollte darauf geachtet werden, dass Personen keine widersprüchlichen Rollen zugewiesen werden. Bei einer großen Anzahl von Rollen sollte die Organisation den Einsatz automatischer Tools in Erwägung ziehen, um Konflikte zu erkennen und deren Beseitigung zu erleichtern. Rollen sollten sorgfältig definiert und bereitgestellt werden, um Zugriffsprobleme zu minimieren, wenn eine Rolle entfernt oder neu zugewiesen wird.</t>
  </si>
  <si>
    <t>Die Geschäftsleitung sollte nachweisen, dass sie die Informationssicherheitspolitik, themenspezifische Richtlinien, Verfahren und Informationssicherheitskontrollen unterstützt.
Zu den Verantwortlichkeiten des Managements sollte es gehören, sicherzustellen, dass das Personal: 
a) ordnungsgemäß über seine Aufgaben und Verantwortlichkeiten im Bereich der Informationssicherheit unterrichtet wird, bevor es Zugang zu den Informationen der Organisation und anderen zugehörigen Vermögenswerten erhält; 
b) Richtlinien erhält, in denen die Erwartungen an die Informationssicherheit in Bezug auf seine Rolle innerhalb der Organisation dargelegt werden; 
c) den Auftrag erhält, die Informationssicherheitspolitik und die themenspezifischen Richtlinien der Organisation zu erfüllen; 
d) ein Bewusstsein für die Informationssicherheit erlangt, das für seine Aufgaben und Verantwortlichkeiten innerhalb der Organisation relevant ist (siehe 6.3); 
e) die Beschäftigungsbedingungen, den Arbeitsvertrag oder die Vereinbarung einhalten, einschließlich der Informationssicherheitspolitik der Organisation und angemessener Arbeitsmethoden; 
f) durch ständige berufliche Weiterbildung über die entsprechenden Fähigkeiten und Qualifikationen im Bereich der Informationssicherheit verfügen; 
g) nach Möglichkeit über einen vertraulichen Kanal verfügen, um Verstöße gegen die Informationssicherheitspolitik, themenspezifische Richtlinien oder Verfahren zur Informationssicherheit zu melden ("whistleblowing"). Dies kann eine anonyme Meldung ermöglichen oder Bestimmungen enthalten, die sicherstellen, dass die Identität des Meldenden nur denjenigen bekannt ist, die sich mit solchen Meldungen befassen müssen; 
h) angemessene Ressourcen und Projektplanungszeit für die Umsetzung der sicherheitsrelevanten Prozesse und Kontrollen der Organisation zur Verfügung gestellt werden.</t>
  </si>
  <si>
    <t>Die Organisation sollte festlegen, wann und von wem Behörden (z. B. Strafverfolgungsbehörden, Regulierungsbehörden, Aufsichtsbehörden) kontaktiert werden sollten und wie festgestellte Informationssicherheitsvorfälle zeitnah gemeldet werden sollten.
Die Kontakte mit den Behörden sollten auch dazu genutzt werden, das Verständnis für die aktuellen und zukünftigen Erwartungen dieser Behörden zu erleichtern (z. B. geltende Vorschriften zur Informationssicherheit).</t>
  </si>
  <si>
    <t>Die Mitgliedschaft in speziellen Interessengruppen oder Foren sollte als Mittel in Betracht gezogen werden, um:
a) das Wissen über bewährte Praktiken zu verbessern und sich über relevante Sicherheitsinformationen auf dem Laufenden zu halten; 
b) sicherzustellen, daß das Verständnis der Informationssicherheitsumgebung auf dem neuesten Stand ist; 
c) frühzeitige Warnungen über Warnungen, Hinweise und Patches zu Angriffen und Schwachstellen zu erhalten; 
d) Zugang zu spezieller Informationssicherheitsberatung zu erhalten; 
e) Informationen über neue Technologien, Produkte, Dienste, Bedrohungen oder Schwachstellen zu teilen und auszutauschen; 
f) geeignete Verbindungsstellen bei der Behandlung von Informationssicherheitsvorfällen zu schaffen (siehe 5.24 bis 5.28).</t>
  </si>
  <si>
    <t>Informationen über bestehende oder entstehende Bedrohungen werden gesammelt und analysiert, um:
a) fundierte Maßnahmen zu erleichtern, um zu verhindern, dass die Bedrohungen der Organisation Schaden zufügen; 
b) die Auswirkungen solcher Bedrohungen zu verringern.
Bedrohungsdaten lassen sich in drei Ebenen unterteilen, die alle berücksichtigt werden sollten: 
a) strategische Bedrohungsdaten: Austausch von Informationen auf hoher Ebene über die sich verändernde Bedrohungslandschaft (z. B. Arten von Angreifern oder Angriffen); 
b) taktische Bedrohungsdaten: Informationen über die Methoden, Werkzeuge und Technologien der Angreifer; 
c) operative Bedrohungsdaten: Einzelheiten über spezifische Angriffe, einschließlich technischer Indikatoren. Bedrohung 
Informationen über Bedrohungen sollten 
a) relevant sein (d. h. sich auf den Schutz der Organisation beziehen); 
b) aufschlussreich sein (d. h. der Organisation ein genaues und detailliertes Verständnis der Bedrohungslandschaft vermitteln); 
c) kontextbezogen sein, um ein Situationsbewusstsein zu schaffen (d. h. den Informationen einen Kontext hinzufügen, der sich auf den Zeitpunkt von Ereignissen, den Ort, an dem sie auftreten, frühere Erfahrungen und die Häufigkeit in ähnlichen Organisationen stützt); 
d) umsetzbar sein (d. h. die Organisation kann schnell und effektiv auf Informationen reagieren).
Zu den Aktivitäten im Bereich der Bedrohungsanalyse gehören: 
a) die Festlegung von Zielen für die Erstellung von Bedrohungsanalysen; 
b) die Ermittlung, Prüfung und Auswahl interner und externer Informationsquellen, die notwendig und geeignet sind, um die für die Erstellung von Bedrohungsanalysen erforderlichen Informationen zu liefern; 
c) die Sammlung von Informationen aus ausgewählten Quellen, die sowohl intern als auch extern sein können; 
d) die Verarbeitung der gesammelten Informationen, um sie für die Analyse vorzubereiten (z. B. durch Übersetzung, Formatierung oder Bestätigung der Informationen); 
e) die Analyse der Informationen, um zu verstehen, in welcher Beziehung sie zueinander stehen und welche Bedeutung sie für die Organisation haben; 
f) die Kommunikation und Weitergabe der Informationen an die relevanten Personen in einem verständlichen Format.
Bedrohungsdaten sollten analysiert und später genutzt werden: 
a) durch die Implementierung von Prozessen zur Einbeziehung von Informationen aus Bedrohungsdatenquellen in die Risikomanagementprozesse der Organisation für die Informationssicherheit; 
b) als zusätzlicher Input für technische Präventiv- und Detektivkontrollen wie Firewalls, Intrusion-Detection-Systeme oder Anti-Malware-Lösungen; 
c) als Input für die Testprozesse und -techniken der Informationssicherheit. 
Die Organisation sollte Bedrohungsdaten mit anderen Organisationen auf gegenseitiger Basis austauschen, um die allgemeinen Bedrohungsdaten zu verbessern.</t>
  </si>
  <si>
    <t>Die Informationssicherheit sollte in das Projektmanagement integriert werden, um sicherzustellen, dass Informationssicherheitsrisiken als Teil des Projektmanagements behandelt werden. Dies kann auf jede Art von Projekt angewandt werden, unabhängig von dessen Komplexität, Größe, Dauer, Disziplin oder Anwendungsbereich (z. B. ein Projekt für einen Kerngeschäftsprozess, IKT, Facility Management oder andere unterstützende Prozesse).
Das eingesetzte Projektmanagement sollte vorschreiben, dass:
a) Informationssicherheitsrisiken in einem frühen Stadium und regelmäßig als Teil der Projektrisiken während des gesamten Projektlebenszyklus bewertet und behandelt werden; 
b) Anforderungen an die Informationssicherheit [z. B. Anforderungen an die Anwendungssicherheit (8.26), Anforderungen an die Einhaltung von Rechten an geistigem Eigentum (5.32) usw.] in den frühen Phasen von Projekten behandelt werden; 
c) Informationssicherheitsrisiken, die mit der Durchführung von Projekten verbunden sind, wie z. B. die Sicherheit interner und externer Kommunikationsaspekte, während des gesamten Projektlebenszyklus berücksichtigt und behandelt werden; 
d) die Fortschritte bei der Behandlung von Informationssicherheitsrisiken überprüft und die Wirksamkeit der Behandlung bewertet und getestet wird.
Die Angemessenheit der Informationssicherheitsüberlegungen und -aktivitäten sollte in vordefinierten Phasen von geeigneten Personen oder Leitungsgremien, wie z. B. dem Projektlenkungsausschuss, nachverfolgt werden. Die Zuständigkeiten und Befugnisse für die Informationssicherheit, die für das Projekt relevant sind, sollten definiert und bestimmten Rollen zugewiesen werden.
Die Anforderungen an die Informationssicherheit für die im Rahmen des Projekts zu liefernden Produkte oder Dienstleistungen sollten mit Hilfe verschiedener Methoden ermittelt werden, einschließlich der Ableitung von Konformitätsanforderungen aus der Informationssicherheitspolitik, themenspezifischen Richtlinien und Vorschriften. Weitere Anforderungen an die Informationssicherheit können aus Aktivitäten wie der Modellierung von Bedrohungen, der Überprüfung von Vorfällen, der Verwendung von Schwellenwerten für Schwachstellen oder der Notfallplanung abgeleitet werden, wodurch sichergestellt wird, dass die Architektur und das Design von Informationssystemen gegen bekannte Bedrohungen auf der Grundlage der Betriebsumgebung geschützt sind.
Die Anforderungen an die Informationssicherheit sollten für alle Arten von Projekten festgelegt werden, nicht nur für IKT-Entwicklungsprojekte. Bei der Festlegung dieser Anforderungen sollten auch die folgenden Punkte berücksichtigt werden
a) um welche Informationen es sich handelt (Informationsbestimmung), welches die entsprechenden Informationssicherheitsanforderungen sind (Klassifizierung; siehe 5.12) und die potenziellen negativen Auswirkungen auf das Geschäft, die sich aus einem Mangel an angemessener Sicherheit ergeben können; 
b) der erforderliche Schutzbedarf von Informationen und anderen damit verbundenen Vermögenswerten, insbesondere im Hinblick auf Vertraulichkeit, Integrität und Verfügbarkeit; 
c) das erforderliche Maß an Vertrauen oder Gewissheit in Bezug auf die behauptete Identität von Stellen, um die Authentifizierungsanforderungen abzuleiten; 
d) Zugriffsbereitstellungs- und -berechtigungsprozesse für Kunden und andere potenzielle Geschäftsanwender sowie für privilegierte oder technische Anwender wie relevante Projektmitglieder, potenzielles Betriebspersonal oder externe Lieferanten; 
e) Information der Anwender über ihre Pflichten und Verantwortlichkeiten; 
f) aus Geschäftsprozessen abgeleitete Anforderungen, wie z. B. Transaktionsprotokollierung und -überwachung, Anforderungen an die Nichtabstreitbarkeit; 
g) Anforderungen, die durch andere Informationssicherheitskontrollen vorgeschrieben sind (z. B. Schnittstellen zug) Anforderungen, die von anderen Informationssicherheitskontrollen vorgeschrieben werden (z. 
B. Schnittstellen zu Protokollierungs- und Überwachungssystemen oder Systemen zur Erkennung von Datenlecks); 
h) Einhaltung der rechtlichen, gesetzlichen, behördlichen und vertraglichen Rahmenbedingungen, in denen die Organisation tätig ist;
i) der Grad des Vertrauens oder der Zusicherung, der für Dritte erforderlich ist, um die Informationssicherheitspolitik der Organisation und die themenspezifischen Richtlinien, einschließlich der einschlägigen Sicherheitsklauseln in Vereinbarungen oder Verträgen, einzuhalten.</t>
  </si>
  <si>
    <t>Die Organisation sollte ihre Informationen und andere zugehörige Vermögenswerte identifizieren und deren Bedeutung für die Informationssicherheit bestimmen. Die Dokumentation sollte je nach Bedarf in speziellen oder bestehenden Verzeichnissen geführt werden.
Das Inventar von Informationen und anderen zugehörigen Vermögenswerten sollte genau, aktuell und konsistent sein und mit anderen Inventaren abgeglichen werden. Zu den Optionen zur Gewährleistung der Genauigkeit eines Inventars von Informationen und anderen zugehörigen Vermögenswerten gehören
a) regelmäßige Überprüfung identifizierter Informationen und anderer zugehöriger Vermögenswerte anhand des Bestandsverzeichnisses; 
b) automatische Erzwingung einer Bestandsaktualisierung bei der Installation, Änderung oder Entfernung eines Vermögenswerts.
Der Standort eines Vermögenswerts sollte gegebenenfalls in das Inventar aufgenommen werden.
Das Inventar muss nicht aus einer einzigen Liste von Informationen und anderen zugehörigen Vermögenswerten bestehen. In Anbetracht der Tatsache, dass das Inventar von den relevanten Funktionen gepflegt werden sollte, kann es als eine Reihe dynamischer Inventare angesehen werden, wie z. B. Inventare für Informationswerte, Hardware, Software, virtuelle Maschinen (VMs), Einrichtungen, Personal, Kompetenzen, Fähigkeiten und Aufzeichnungen.
Jeder Vermögenswert sollte entsprechend der Klassifizierung der mit diesem Vermögenswert verbundenen Informationen (siehe 5.12) klassifiziert werden.
Die Granularität des Inventars von Informationen und anderen zugehörigen Vermögenswerten sollte auf einer Ebene liegen, die den Bedürfnissen der Organisation entspricht. Manchmal ist es aufgrund der Beschaffenheit eines Vermögenswertes nicht möglich, bestimmte Instanzen von Vermögenswerten im Informationslebenszyklus zu dokumentieren. Ein Beispiel für einen kurzlebigen Vermögenswert ist eine VM-Instanz, deren Lebenszyklus von kurzer Dauer sein kann.
Eigentum
Für die identifizierten Informationen und andere zugehörige Vermögenswerte sollte das Eigentum an dem Vermögenswert einer Person oder einer Gruppe zugewiesen und die Klassifizierung festgelegt werden (siehe 5.12, 5.13). Es sollte ein Verfahren eingeführt werden, das die rechtzeitige Zuweisung des Eigentums an den Vermögenswerten gewährleistet. Das Eigentum sollte zugewiesen werden, wenn Vermögenswerte geschaffen werden oder wenn sie der Organisation übertragen werden. Das Eigentum an den Vermögenswerten sollte bei Bedarf neu zugewiesen werden, wenn der derzeitige Eigentümer der Vermögenswerte ausscheidet oder seine Funktion wechselt.
Pflichten des Eigentümers
Der Eigentümer eines Vermögenswerts sollte für die ordnungsgemäße Verwaltung des Vermögenswerts während des gesamten Lebenszyklus verantwortlich sein und sicherstellen, dass:
a) Informationen und andere zugehörige Vermögenswerte inventarisiert werden; 
b) Informationen und andere zugehörige Vermögenswerte angemessen klassifiziert und geschützt werden; 
c) die Klassifizierung regelmäßig überprüft wird; 
d) Komponenten, die technologische Vermögenswerte unterstützen, aufgelistet und verknüpft werden, wie z. B. Datenbanken, Speicher, Softwarekomponenten und Unterkomponenten; 
e) Anforderungen für die akzeptable Nutzung von Informationen und anderen zugehörigen Vermögenswerten (siehe 5.10) festgelegt sind; 
f) die Zugangsbeschränkungen mit der Klassifizierung übereinstimmen, wirksam sind und regelmäßig überprüft werden; 
g) Informationen und andere zugehörige Güter, wenn sie gelöscht oder entsorgt werden, sicher gehandhabt und aus dem Inventar entfernt werden; 
h) sie an der Ermittlung und dem Management von Risiken im Zusammenhang mit ihren Gütern beteiligt sind;
i) sie unterstützen das Personal, das die Aufgabe und die Verantwortung hat, ihre Informationen zu verwalten.</t>
  </si>
  <si>
    <t>Mitarbeiter und externe Nutzer, die Informationen und andere zugehörige Vermögenswerte der Organisation nutzen oder Zugang zu ihnen haben, sollten über die Anforderungen an die Informationssicherheit zum Schutz und zum Umgang mit den Informationen und anderen zugehörigen Vermögenswerten der Organisation aufgeklärt werden. Sie sollten für die Nutzung aller Informationsverarbeitungseinrichtungen verantwortlich sein.
Die Organisation sollte eine themenspezifische Richtlinie zur akzeptablen Nutzung von Informationen und anderen zugehörigen Vermögenswerten aufstellen und diese an alle Personen weitergeben, die Informationen und andere zugehörige Vermögenswerte nutzen oder handhaben. Die themenspezifische Richtlinie über die zulässige Nutzung sollte klare Hinweise darauf geben, wie Einzelpersonen Informationen und andere zugehörige Ressourcen nutzen sollen. Die themenspezifische Richtlinie sollte Folgendes enthalten
a) erwartete und inakzeptable Verhaltensweisen von Einzelpersonen aus der Sicht der Informationssicherheit; 
b) erlaubte und verbotene Nutzung von Informationen und anderen zugehörigen Ressourcen; 
c) Überwachungsaktivitäten, die von der Organisation durchgeführt werden.
Verfahren für die zulässige Nutzung sollten für den gesamten Lebenszyklus von Informationen in Übereinstimmung mit ihrer Klassifizierung (siehe 5.12) und den ermittelten Risiken erstellt werden. Die folgenden Punkte sollten berücksichtigt werden:
a) Zugangsbeschränkungen, die die Schutzanforderungen für jeden Geheimhaltungsgrad unterstützen; 
b) Führung eines Verzeichnisses der autorisierten Benutzer von Informationen und anderen zugehörigen Werten; 
c) Schutz von temporären oder permanenten Kopien von Informationen auf einem Niveau, das mit dem Schutz der ursprünglichen Informationen übereinstimmt; 
d) Aufbewahrung von zu den Informationen gehörenden Werten in Übereinstimmung mit den Herstellerspezifikationen 
(siehe 7.8); 
e) eindeutige Kennzeichnung aller Kopien von Speichermedien (elektronisch oder physisch) zuhanden des autorisierten Empfängers (siehe 7.10); 
f) Genehmigung der Entsorgung von Informationen und anderen zugehörigen Werten und unterstützte Löschmethode
(n) (siehe 8.10).</t>
  </si>
  <si>
    <t>Der Wechsel oder die Beendigung des Arbeitsverhältnisses sollte formalisiert werden, um die Rückgabe aller zuvor ausgegebenen physischen und elektronischen Geräte zu gewährleisten, die der Organisation gehören oder ihr anvertraut wurden.
In Fällen, in denen Mitarbeiter und andere interessierte Parteien die Ausrüstung der Organisation erwerben oder ihre eigene persönliche Ausrüstung verwenden, sollten Verfahren befolgt werden, die sicherstellen, dass alle relevanten Informationen aufgespürt und an die Organisation übertragen und sicher von der Ausrüstung gelöscht werden (siehe 7.14). 
In Fällen, in denen Mitarbeiter und andere interessierte Parteien über Kenntnisse verfügen, die für den laufenden Betrieb wichtig sind, sollten diese Informationen dokumentiert und an die Organisation weitergegeben werden. 
Während der Kündigungsfrist und danach soll die Organisation verhindern, dass unbefugtes Kopieren relevanter Informationen (z. B. geistiges Eigentum) durch das gekündigte Personal erfolgt. 
Die Organisation sollte alle zurückzugebenden Informationen und sonstigen zugehörigen Vermögenswerte eindeutig identifizieren und dokumentieren, z. B:
a) Endgeräte der Benutzer; 
b) tragbare Speichergeräte; 
c) Spezialausrüstung; 
d) Authentifizierungshardware (z. B. mechanische Schlüssel, physische Token und Smartcards) für Informationssysteme, Standorte und physische Archive; 
e) physische Kopien von Informationen.</t>
  </si>
  <si>
    <t>Die Organisation sollte eine themenspezifische Richtlinie für die Klassifizierung von Informationen aufstellen und sie allen relevanten interessierten Parteien mitteilen.
Die Organisation sollte im Klassifizierungsschema die Anforderungen an Vertraulichkeit, Integrität und Verfügbarkeit berücksichtigen.
Klassifizierungen und damit verbundene Schutzmaßnahmen für Informationen sollten den geschäftlichen Erfordernissen für die gemeinsame Nutzung oder Einschränkung von Informationen, für den Schutz der Integrität von Informationen und für die Gewährleistung der Verfügbarkeit sowie den rechtlichen Anforderungen an die Vertraulichkeit, Integrität oder Verfügbarkeit der Informationen Rechnung tragen. Vermögenswerte, die keine Informationen sind, können auch in Übereinstimmung mit der Klassifizierung von Informationen klassifiziert werden, die in dem Vermögenswert gespeichert sind, von ihm verarbeitet werden oder anderweitig von ihm bearbeitet oder geschützt werden.
Die Eigentümer von Informationen sollten für deren Klassifizierung verantwortlich sein.
Das Klassifizierungsschema sollte Konventionen für die Klassifizierung und Kriterien für die Überprüfung der Klassifizierung im Laufe der Zeit enthalten. Die 
Ergebnisse der Klassifizierung sollten entsprechend den Änderungen des Werts, der Sensibilität und der Kritikalität der Informationen während ihres Lebenszyklus aktualisiert werden.
Das Schema sollte auf die themenspezifische Richtlinie zur Zugriffskontrolle (siehe 5.1) abgestimmt sein und den spezifischen Geschäftsanforderungen der Organisation gerecht werden können.
Die Klassifizierung kann nach dem Grad der Auswirkung bestimmt werden, die eine Kompromittierung der Informationen für die Organisation hätte. Jeder im Schema definierten Stufe sollte ein Name gegeben werden, der im Kontext der Anwendung des Klassifizierungsschemas Sinn macht.
Das Schema sollte in der gesamten Organisation einheitlich sein und in die Verfahren aufgenommen werden, so dass alle Mitarbeiter Informationen und damit verbundene Vermögenswerte auf dieselbe Weise klassifizieren. Auf diese Weise hat jeder ein gemeinsames Verständnis der Schutzanforderungen und wendet einen angemessenen Schutz an.
Das innerhalb der Organisation verwendete Klassifizierungsschema kann sich von den Schemata anderer Organisationen unterscheiden, auch wenn die Bezeichnungen für die Stufen ähnlich sind. Darüber hinaus können Informationen, die zwischen Organisationen ausgetauscht werden, je nach ihrem Kontext in jeder Organisation unterschiedlich klassifiziert werden, selbst wenn ihre Klassifizierungsschemata identisch sind. Daher sollten Vereinbarungen mit anderen Organisationen, die einen Informationsaustausch vorsehen, Verfahren zur Ermittlung der Klassifizierung dieser Informationen und zur Interpretation der Klassifizierungsstufen anderer Organisationen enthalten. Die Übereinstimmung zwischen verschiedenen Schemata kann durch die Suche nach Gleichwertigkeit der zugehörigen Bearbeitungs- und Schutzmethoden ermittelt werden.</t>
  </si>
  <si>
    <t>Die Verfahren für die Kennzeichnung von Informationen sollten Informationen und andere zugehörige Werte in allen Formaten abdecken. Die Kennzeichnung sollte das in 5.12 festgelegte Klassifizierungsschema widerspiegeln. Die Etiketten sollten leicht zu erkennen sein. Die Verfahren sollten Anhaltspunkte dafür geben, wo und wie die Kennzeichnungen angebracht werden, wobei zu berücksichtigen ist, wie auf die Informationen zugegriffen wird oder wie die Werte je nach Art der Speichermedien gehandhabt werden. Die Verfahren können Folgendes festlegen
a) Fälle, in denen auf eine Kennzeichnung verzichtet wird (z. B. Kennzeichnung nicht vertraulicher Informationen zur Verringerung des Arbeitsaufwands); 
b) wie Informationen zu kennzeichnen sind, die auf elektronischem oder physischem Wege oder in einem anderen Format übermittelt oder gespeichert werden; 
c) wie mit Fällen umzugehen ist, in denen eine Kennzeichnung nicht möglich ist (z. B. aufgrund technischer Beschränkungen).
Beispiele für Kennzeichnungstechniken sind: 
a) physische Etiketten; 
b) Kopf- und Fußzeilen; 
c) Metadaten; 
d) Wasserzeichen; 
e) Gummistempel.
Für digitale Informationen sollten Metadaten verwendet werden, um Informationen zu identifizieren, zu verwalten und zu kontrollieren, insbesondere im Hinblick auf die Vertraulichkeit. Metadaten sollten auch eine effiziente und korrekte Suche nach Informationen ermöglichen. Metadaten sollten es Systemen erleichtern, miteinander zu interagieren und Entscheidungen auf der Grundlage der zugehörigen Klassifizierungsetiketten zu treffen.
In den Verfahren sollte beschrieben werden, wie Metadaten an Informationen anzuhängen sind, welche Kennzeichnungen zu verwenden sind und wie die Daten im Einklang mit dem Informationsmodell und der IKT-Architektur der Organisation zu behandeln sind. 
Einschlägige zusätzliche Metadaten sollten von den Systemen hinzugefügt werden, wenn sie Informationen in Abhängigkeit von ihren Informationssicherheitseigenschaften verarbeiten.
Das Personal und andere interessierte Parteien sollten auf die Kennzeichnungsverfahren aufmerksam gemacht werden. Das gesamte Personal sollte die erforderliche Schulung erhalten, um sicherzustellen, dass Informationen korrekt gekennzeichnet und entsprechend behandelt werden.
Der Output von Systemen, die als sensibel oder kritisch eingestufte 
Informationen enthalten, sollte mit einem entsprechenden Kennzeichnungsetikett versehen werden.</t>
  </si>
  <si>
    <t>Allgemein
Die Organisation sollte eine themenspezifische Politik zur Informationsweitergabe festlegen und diese allen relevanten interessierten Parteien mitteilen. Die Regeln, Verfahren und Vereinbarungen zum Schutz von Informationen bei der Übermittlung sollten die Klassifizierung der betreffenden Informationen widerspiegeln. Bei der Übermittlung von Informationen zwischen der Organisation und Dritten sollten Übermittlungsvereinbarungen (einschließlich der Authentifizierung des Empfängers) getroffen und aufrechterhalten werden, um Informationen während der Übermittlung in jeder Form zu schützen (siehe 5.10).
Die Informationsübermittlung kann durch elektronische Übermittlung, physische Speichermedien und mündliche Übermittlung erfolgen.
Für alle Arten der Informationsübermittlung sollten die Regeln, Verfahren und Vereinbarungen Folgendes umfassen: 
a) Kontrollen zum Schutz der übermittelten Informationen vor Abfangen, unbefugtem Zugriff, Kopieren, Veränderung, Fehlleitung, Zerstörung und Dienstverweigerung, einschließlich der Ebenen der Zugriffskontrolle, die der Klassifizierung der betreffenden Informationen entsprechen, und spezieller Kontrollen, die zum Schutz sensibler Informationen erforderlich sind, wie z. B. die Verwendung kryptografischer Techniken (siehe 8.24); 
b) Kontrollen zur Sicherstellung der Rückverfolgbarkeit und der Nichtabstreitbarkeit, einschließlich der Aufrechterhaltung einer Überwachungskette für Informationen während der Übermittlung; 
c) Identifizierung geeigneter Kontaktpersonen im Zusammenhang mit der Übermittlung, einschließlich der Informationseigentümer, der Risikoeigentümer, der Sicherheitsbeauftragten und der Informationsverwahrer, soweit zutreffend; 
d) Verantwortlichkeiten und Haftung bei Zwischenfällen im Bereich der Informationssicherheit, z. B. bei Verlust von physischen Speichermedien oder Daten; 
e) Verwendung eines vereinbarten Kennzeichnungssystems für sensible oder kritische Informationen, das sicherstellt, dass die Bedeutung der Kennzeichnungen sofort verstanden wird und dass die Informationen angemessen geschützt sind (siehe 5.13); 
f) Zuverlässigkeit und Verfügbarkeit des Übermittlungsdienstes; 
g) die themenspezifische Politik oder die Richtlinien für die zulässige Nutzung von Informationsübermittlungseinrichtungen (siehe 5.10); 
h) Aufbewahrungs- und Entsorgungsrichtlinien für alle Geschäftsunterlagen, einschließlich Nachrichten; 
HINWEIS Es können lokale Gesetze und Vorschriften für die Aufbewahrung und Entsorgung von Geschäftsunterlagen bestehen.
i) die Berücksichtigung anderer relevanter rechtlicher, gesetzlicher, behördlicher und vertraglicher Anforderungen (siehe 5.31, 5.32, 5.33, 5.34) im Zusammenhang mit der Informationsübermittlung (z. B. Anforderungen an elektronische Signaturen).
Elektronische Übermittlung
Regeln, Verfahren und Vereinbarungen sollten auch die folgenden Punkte berücksichtigen, wenn elektronische Kommunikationseinrichtungen für die Informationsübermittlung genutzt werden:
a) Erkennung von und Schutz vor Schadsoftware, die durch die Nutzung elektronischer Kommunikation übertragen werden kann (siehe 8.7); 
b) Schutz der übermittelten sensiblen elektronischen Informationen in Form von Anhängen; 
c) Verhinderung des Versands von Dokumenten und Nachrichten in der Kommunikation an die falsche Adresse oder Nummer; 
d) Einholung einer Genehmigung vor der Nutzung externer öffentlicher Dienste wie Instant Messaging, soziale Netzwerke, Dateifreigabe oder Cloud-Speicher; 
e) stärkere Authentifizierungsstufen bei der Übertragung von Informationen über öffentlich zugängliche Netze; f) Beschränkungen im Zusammenhang mit elektronischen Kommunikationseinrichtungen (z.z. B. Verhinderung der automatischen Weiterleitung 
von elektronischer Post an externe Mailadressen); 
g) Beratung des Personals und anderer interessierter Parteien, keine SMS oder Sofortnachrichten mit kritischen Informationen zu versenden, da diese an öffentlichen Orten (und damit von Unbefugten) gelesen oder in nicht ausreichend geschützten Geräten gespeichert werden können; 
h) Beratung des Personals und anderer interessierter Parteien über die Probleme bei der Nutzung von Faxgeräten oder -diensten, nämlich:  
1) unbefugter Zugriff auf die eingebauten Nachrichtenspeicher, um Nachrichten abzurufen; 2
) absichtliches oder versehentliches Programmieren von Geräten, um Nachrichten an bestimmte Nummern zu senden. Übertragung von physischen Speichermedien
Bei der Übermittlung von physischen Speichermedien (einschließlich Papier) sollten die Regeln, Verfahren und Vereinbarungen auch Folgendes umfassen: 
a) Verantwortlichkeiten für die Kontrolle und Benachrichtigung über die Übermittlung, den Versand und den Empfang; 
b) Sicherstellung der korrekten Adressierung und des Transports der Nachricht; 
c) eine Verpackung, die den Inhalt vor physischen Schäden schützt, die während des Transports auftreten können, und die den Spezifikationen des Herstellers entspricht, z. B. Schutz vor Umweltfaktoren, die die Wirksamkeit der Wiederherstellung von Speichermedien beeinträchtigen können, wie z. B. Hitze, Feuchtigkeit oder elektromagnetische Felder; Anwendung technischer Mindeststandards für Verpackung und Übermittlung (z. B. Verwendung von lichtundurchlässigen Folien).
z. B. die Verwendung undurchsichtiger Umschläge); 
d) eine von der Geschäftsleitung genehmigte Liste zugelassener zuverlässiger Kuriere; 
e) Identifizierungsstandards für Kuriere; 
f) je nach Geheimhaltungsgrad der Informationen in den zu transportierenden Speichermedien die Verwendung manipulationssicherer oder manipulationssicherer Kontrollen (z. B. Taschen, Behälter); 
g) Verfahren zur Überprüfung der Identifizierung von Kurieren; 
h) eine genehmigte Liste von Dritten, die Transport- oder Kurierdienste anbieten, je nach Geheimhaltungsgrad der Informationen;
i) Führung von Protokollen zur Identifizierung des Inhalts der Speichermedien, des angewandten Schutzes sowie zur Aufzeichnung der Liste der zugelassenen Empfänger, der Zeitpunkte der Übergabe an die Transitverwahrer und des Empfangs am Bestimmungsort.
Mündliche Übermittlung
Zum Schutz der mündlichen Übermittlung von Informationen sollten Mitarbeiter und andere interessierte Parteien daran erinnert werden, dass sie:
a) keine vertraulichen mündlichen Gespräche an öffentlichen Orten oder über unsichere Kommunikationskanäle führen sollten, da diese von Unbefugten abgehört werden können; 
b) keine Nachrichten mit vertraulichen Informationen auf Anrufbeantwortern oder Sprachnachrichten hinterlassen sollten, da diese von Unbefugten wiedergegeben, auf kommunalen Systemen gespeichert oder infolge von Wahlfehlern falsch gespeichert werden können; 
c) auf der geeigneten Ebene abgeschirmt sein sollten, um das Gespräch mitzuhören; 
d) sicherstellen sollten, dass geeignete Raumkontrollen implementiert sind (z. B. Schallschutz, geschlossene Tür).(z. 
B. Schallschutz, geschlossene Türen); 
e) alle sensiblen Gespräche mit einem Hinweis beginnen, damit die Anwesenden wissen, welche Klassifizierungsstufe und welche Anforderungen an die Handhabung des Gesprächs gestellt werden.</t>
  </si>
  <si>
    <t>Die Eigentümer von Informationen und anderen zugehörigen Vermögenswerten sollten die Anforderungen an die Informationssicherheit und das Geschäft im Zusammenhang mit der Zugangskontrolle festlegen. Es sollte eine themenspezifische Politik zur Zugangskontrolle festgelegt werden, die diese Anforderungen berücksichtigt und allen relevanten interessierten Parteien mitgeteilt werden sollte.
Diese Anforderungen und die themenspezifische Strategie sollten Folgendes berücksichtigen
a) Festlegung, welche Stellen welche Art von Zugang zu den Informationen und anderen zugehörigen Vermögenswerten benötigen; 
b) Sicherheit von Anwendungen (siehe 8.26); 
c) physischer Zugang, der durch geeignete physische Zugangskontrollen unterstützt werden muss (siehe 7.2, 7.3, 7.4); 
d) Informationsverbreitung und Autorisierung (z. B. das Need-to-know-Prinzip) sowie Informationssicherheitsstufen und Klassifizierung von Informationen (siehe 5.10, 5.12, 5.13); 
e) Beschränkungen des privilegierten Zugangs (siehe 8.2); f) Aufgabentrennung (siehe 5.3); 
g) einschlägige Gesetze, Vorschriften und vertragliche Verpflichtungen hinsichtlich der Beschränkung des Zugangs zu Daten oder Diensten (siehe 5.31, 5.32, 5.33, 5.34, 8.3); 
h) Trennung der Zugangskontrollfunktionen (z. B. Zugangsantrag, Zugangsberechtigung, Zugangsverwaltung);
i) formale Genehmigung von Zugangsanträgen (siehe 5.16 und 5.18); 
j) Verwaltung von Zugangsrechten (siehe 5.18); 
k) Protokollierung (siehe 8.15).
Zugriffskontrollregeln sollten durch die Definition und Zuordnung geeigneter Zugriffsrechte und -beschränkungen zu den entsprechenden Entitäten umgesetzt werden (siehe 5.16). Eine Entität kann sowohl einen menschlichen Benutzer als auch ein technisches oder logisches Objekt (z. B. eine Maschine, ein Gerät oder einen Dienst) darstellen. Um die Verwaltung der Zugriffskontrolle zu vereinfachen, können Entitätsgruppen bestimmte Rollen zugewiesen werden.
Bei der Festlegung und Umsetzung von Zugangskontrollregeln sollte Folgendes berücksichtigt werden: 
a) Konsistenz zwischen den Zugangsrechten und der Informationsklassifizierung; 
b) Konsistenz zwischen den Zugangsrechten und den Sicherheitsanforderungen an den physischen Perimeter; 
c) Berücksichtigung aller Arten von verfügbaren Verbindungen in verteilten Umgebungen, so dass Entitäten nur Zugang zu Informationen und anderen zugehörigen Vermögenswerten, einschließlich Netzen und Netzdiensten, erhalten, zu deren Nutzung sie berechtigt sind; 
d) Überlegungen, wie Elemente oder Faktoren, die für die dynamische Zugangskontrolle relevant sind, berücksichtigt werden können.</t>
  </si>
  <si>
    <t>Die im Zusammenhang mit dem Identitätsmanagement eingesetzten Prozesse sollten sicherstellen, dass:
a) bei Identitäten, die Personen zugeordnet sind, eine bestimmte Identität nur mit einer einzigen Person verknüpft ist, um die Person für Handlungen, die mit dieser bestimmten Identität ausgeführt werden, zur Rechenschaft ziehen zu können; 
b) Identitäten, die mehreren Personen zugeordnet sind (z. B. gemeinsam genutzte Identitäten), nur dann zulässig sind, wenn sie aus geschäftlichen oder betrieblichen Gründen erforderlich sind, und einer speziellen Genehmigung und Dokumentation unterliegen; 
c) Identitäten, die nicht-menschlichen Einheiten zugeordnet sind, einer angemessenen getrennten Genehmigung und einer unabhängigen laufenden Überwachung unterliegen; 
d) Identitäten rechtzeitig deaktiviert oder entfernt werden, wenn sie nicht mehr benötigt werden (z.d) Identitäten werden rechtzeitig deaktiviert oder entfernt, wenn sie nicht mehr benötigt werden (z. B. 
wenn die zugehörigen Entitäten gelöscht oder nicht mehr verwendet werden oder wenn die mit einer Identität verknüpfte Person die Organisation verlassen oder die Rolle gewechselt hat); 
e) in einem bestimmten Bereich wird eine einzige Identität einer einzigen Entität zugeordnet [d. h. die Zuordnung mehrerer Identitäten zu derselben Entität innerhalb desselben Kontexts (doppelte Identitäten) wird vermieden]; 
f) Aufzeichnungen über alle wichtigen Ereignisse im Zusammenhang mit der Verwendung und Verwaltung von Benutzeridentitäten und Authentifizierungsinformationen werden geführt.
Die Organisation sollte über einen unterstützenden Prozess verfügen, um Änderungen von Informationen im Zusammenhang mit Benutzeridentitäten zu behandeln. Diese Prozesse können die erneute Überprüfung von vertrauenswürdigen Dokumenten zu einer Person beinhalten.
Bei der Verwendung von Identitäten, die von Dritten zur Verfügung gestellt oder ausgestellt werden (z. B. Zugangsdaten für soziale Medien), sollte die Organisation sicherstellen, dass die Identitäten Dritter das erforderliche Vertrauensniveau bieten und alle damit verbundenen Risiken bekannt sind und ausreichend behandelt werden. Dies kann sowohl Kontrollen in Bezug auf die Dritten (siehe 5.19) als auch Kontrollen in Bezug auf die zugehörigen Authentifizierungsinformationen (siehe 5.17) umfassen.</t>
  </si>
  <si>
    <t>Zuweisung von Authentifizierungsinformationen
Der Zuweisungs- und Verwaltungsprozess sollte sicherstellen, dass:
a) persönliche Passwörter oder persönliche Identifikationsnummern (PINs), die automatisch während des Anmeldeprozesses als temporäre geheime Authentifizierungsinformationen generiert werden, nicht erraten werden können und für jede Person eindeutig sind, und dass die Benutzer verpflichtet sind, sie nach der ersten Verwendung zu ändern; 
b) Verfahren eingerichtet werden, um die Identität eines Benutzers zu überprüfen, bevor neue, Ersatz- oder temporäre Authentifizierungsinformationen bereitgestellt werden; 
c) Authentifizierungsinformationen, einschließlich temporärer Authentifizierungsinformationen, den Benutzern auf sichere Weise (z. B. über einen authentifizierten und geschützten Kanal) übermittelt werden und die Verwendung ungeschützter (Klartext-) E-Mail-Nachrichten für diesen Zweck vermieden wird; d) Benutzer den Erhalt von Authentifizierungsinformationen bestätigen; e) Benutzer den Erhalt von Authentifizierungsinformationen bestätigen.
d) die Benutzer den Empfang der Authentifizierungsdaten bestätigen; 
e) die vordefinierten oder von den Anbietern bereitgestellten Standardauthentifizierungsdaten unmittelbar nach der Installation von Systemen oder Software geändert werden; 
f) Aufzeichnungen über wichtige Ereignisse im Zusammenhang mit der Zuweisung und Verwaltung von Authentifizierungsdaten aufbewahrt werden und ihre Vertraulichkeit gewährleistet ist und dass die Methode zur Aufbewahrung der Aufzeichnungen genehmigt ist (z. B. durch Verwendung eines genehmigten Passwort-Tresor-Tools).
Verantwortlichkeiten der Nutzer
Jede Person, die Zugang zu Authentifizierungsdaten hat oder diese verwendet, sollte darauf hingewiesen werden, dass:
a) geheime Authentifizierungsdaten wie Passwörter vertraulich zu behandeln sind. Persönliche geheime Authentifizierungsdaten dürfen nicht an Dritte weitergegeben werden. Geheime Authentifizierungsdaten, die im Zusammenhang mit Identitäten verwendet werden, die mit mehreren Nutzern oder mit nicht-personenbezogenen Einheiten verknüpft sind, werden ausschließlich mit autorisierten Personen geteilt; 
b) betroffene oder kompromittierte Authentifizierungsdaten werden sofort nach der Benachrichtigung über eine Kompromittierung oder bei jedem anderen Anzeichen einer Kompromittierung geändert; 
c) wenn Passwörter als Authentifizierungsdaten verwendet werden, werden starke Passwörter gemäß den Empfehlungen für bewährte Praktiken gewählt, z. B.:
1) Passwörter basieren nicht auf etwas, das jemand anderes leicht erraten oder mit Hilfe von personenbezogenen Daten erhalten kann (z. B. Namen, Telefonnummern und Daten).
z. B. Namen, Telefonnummern und Geburtsdaten); 
2) Passwörter basieren nicht auf Wörterbüchern oder deren Kombinationen; 
3) verwenden Sie leicht zu merkende Passphrasen und versuchen Sie, alphanumerische Zeichen und Sonderzeichen zu verwenden; 
4) Passwörter haben eine Mindestlänge;
d) dieselben Passwörter werden nicht für verschiedene Dienste und Systeme verwendet; 
e) die Verpflichtung zur Einhaltung dieser Regeln ist auch in den Beschäftigungsbedingungen enthalten (siehe6.2).
Passwortverwaltungssystem
Wenn Passwörter als Authentifizierungsinformationen verwendet werden, sollte das Passwortverwaltungssystem:
a) den Benutzern die Möglichkeit geben, ihre eigenen Passwörter auszuwählen und zu ändern, und ein Bestätigungsverfahren zur Behebung von Eingabefehlern vorsehen; 
b) starke Passwörter gemäß den Empfehlungen für bewährte Praktiken [siehe c) unter "Benutzerpflichten"] erzwingen; 
c) die Benutzer zwingen, ihre Passwörter bei der ersten Anmeldung zu ändern; 
d) Passwortänderungen bei Bedarf erzwingen, z. B. nach einem Sicherheitsvorfall oder bei Beendigung oder Wechsel des Beschäftigungsverhältnisses, wenn einem Benutzer Passwörter für Identitäten bekannt sind, die aktiv bleiben (z. B. gemeinsam genutzte Identitäten); e) den Benutzern die Möglichkeit geben, ihre
z. B. gemeinsame Identitäten); 
e) die Wiederverwendung früherer Passwörter zu verhindern; 
f) die Verwendung häufig verwendeter Passwörter und kompromittierter Benutzernamen und Passwortkombinationen aus gehackten Systemen zu verhindern; 
g) Passwörter bei der Eingabe nicht auf dem Bildschirm anzuzeigen; 
h) Passwörter in geschützter Form zu speichern und zu übertragen.
Die Verschlüsselung und das Hashing von Passwörtern sollte gemäß den anerkannten kryptografischen Techniken für Passwörter erfolgen (siehe 8.24).</t>
  </si>
  <si>
    <t>Bereitstellung und Entzug von Zugriffsrechten
Der Bereitstellungsprozess für die Zuweisung oder den Entzug von physischen und logischen Zugriffsrechten, die der authentifizierten Identität einer Entität gewährt werden, sollte Folgendes umfassen:
a) die Einholung der Genehmigung des Eigentümers der Informationen und anderer zugehöriger Werte für die Nutzung der Informationen und anderer zugehöriger Werte (siehe 5.9). Eine gesonderte Genehmigung der Zugriffsrechte durch die Geschäftsleitung kann ebenfalls angemessen sein; 
b) Berücksichtigung der geschäftlichen Anforderungen und der themenspezifischen Richtlinien und Regeln der Organisation für die Zugriffskontrolle; 
c) Berücksichtigung der Aufgabentrennung, einschließlich der Trennung der Rollen für die Genehmigung und die Umsetzung der Zugriffsrechte und der Trennung von konkurrierenden Rollen; 
d) Sicherstellung, dass Zugriffsrechte entzogen werden, wenn jemand nicht mehr auf die Informationen und andere zugehörige Vermögenswerte zugreifen muss, insbesondere Sicherstellung, dass die Zugriffsrechte von Benutzern, die die Organisation verlassen haben, rechtzeitig entzogen werden; 
e) Erwägung der Erteilung von zeitlich begrenzten Zugriffsrechten und deren Entzug zum Ablaufdatum, insbesondere für zeitlich befristetes Personal oder für zeitlich begrenzten Zugriff, der vom Personal benötigt wird; 
f) Überprüfung, ob der Umfang des gewährten Zugriffs mit den themenspezifischen Richtlinien zur Zugriffskontrolle (siehe 5.15) und mit anderen Informationssicherheitsanforderungen wie der Aufgabentrennung (siehe 5.3) übereinstimmt; 
g) Sicherstellung, dass Zugriffsrechte (z. B. von Dienstleistern) erst nach erfolgreichem Abschluss von Autorisierungsverfahren aktiviert werden; 
h) Führung einer zentralen Aufzeichnung der Zugriffsrechte, die einer Benutzerkennung (ID, logisch oder physisch) für den Zugriff auf Informationen und andere zugehörige Vermögenswerte gewährt wurden
i) Änderung der Zugriffsrechte von Nutzern, die ihre Rolle oder ihren Arbeitsplatz gewechselt haben; 
j) Entzug oder Anpassung physischer und logischer Zugriffsrechte, was durch Entzug, Widerruf oder Ersatz von Schlüsseln, Authentifizierungsinformationen, Identifikationskarten oder Abonnements erfolgen kann; 
k) Führung eines Verzeichnisses der Änderungen der logischen und physischen Zugriffsrechte von Nutzern.
Überprüfung der Zugangsrechte
Bei der regelmäßigen Überprüfung der physischen und logischen Zugriffsrechte sollte Folgendes berücksichtigt werden: 
a) die Zugriffsrechte der Benutzer nach einem Wechsel innerhalb derselben Organisation (z. B. Stellenwechsel, Beförderung, Degradierung) oder nach Beendigung des Beschäftigungsverhältnisses (siehe 6.1 bis 6.5); 
b) die Berechtigungen für privilegierte Zugriffsrechte.
Vor einem Wechsel oder der Beendigung des Arbeitsverhältnisses sollten die Zugriffsrechte des Benutzers auf Informationen und andere zugehörige Werte überprüft und angepasst oder aufgehoben werden, und zwar auf der Grundlage der Bewertung von Risikofaktoren wie: 
a) ob die Beendigung oder der Wechsel vom Benutzer oder von der Geschäftsleitung veranlasst wird, und der Grund für die Beendigung des Arbeitsverhältnisses; 
b) die derzeitigen Verantwortlichkeiten des Benutzers; 
c) der Wert der derzeit zugänglichen Werte.</t>
  </si>
  <si>
    <t>Die Organisation soll eine themenspezifische Politik zu Lieferantenbeziehungen aufstellen und allen relevanten interessierten Parteien mitteilen.
Die Organisation sollte Prozesse und Verfahren identifizieren und implementieren, um Sicherheitsrisiken im Zusammenhang mit der Nutzung von Produkten und Dienstleistungen, die von Lieferanten bereitgestellt werden, zu begegnen. Dies sollte auch für die Nutzung von Ressourcen von Cloud-Anbietern durch die Organisation gelten. Zu diesen Prozessen und Verfahren sollen sowohl solche gehören, die von der Organisation zu implementieren sind, als auch solche, die die Organisation vom Lieferanten für die Aufnahme der Nutzung von Produkten oder Dienstleistungen eines Lieferanten oder für die Beendigung der Nutzung von Produkten und Dienstleistungen eines Lieferanten verlangt, wie z. B:
a) Identifizierung und Dokumentation der Arten von Lieferanten (z. B. IKT-Dienstleistungen, Logistik, Versorgungsunternehmen, Finanzdienstleistungen, IKT-Infrastrukturkomponenten), die die Vertraulichkeit, Integrität und Verfügbarkeit der Informationen der Organisation beeinträchtigen können; 
b) Festlegung, wie Lieferanten je nach Sensibilität der Informationen, Produkte und Dienstleistungen zu bewerten und auszuwählen sind (z. B. durch Marktanalysen, Kundenreferenzen, Prüfung von Unterlagen, Bewertungen vor Ort, Zertifizierungen);
c) Bewertung und Auswahl von Produkten oder Dienstleistungen von Lieferanten, die über angemessene Informationssicherheitskontrollen verfügen, und deren Überprüfung; insbesondere die Genauigkeit und Vollständigkeit der vom Lieferanten implementierten Kontrollen, die die Integrität der Informationen und der Informationsverarbeitung des Lieferanten und damit die Informationssicherheit der Organisation gewährleisten; 
d) Festlegung der Informationen der Organisation, der IKT-Dienste und der physischen Infrastruktur, auf die Lieferanten zugreifen, die sie überwachen, kontrollieren oder nutzen können; 
e) Festlegung der Arten von IKT-Infrastrukturkomponenten und -diensten, die von Lieferanten bereitgestellt werden und die die Vertraulichkeit, Integrität und Verfügbarkeit der Informationen der Organisation beeinträchtigen können; 
f) Bewertung und Management der Informationssicherheitsrisiken im Zusammenhang mit
  1) der Nutzung der Informationen der Organisation und anderer zugehöriger Vermögenswerte durch die Lieferanten, einschließlich der Risiken, die von potenziell böswilligem Personal der Lieferanten ausgehen; 
  2) Fehlfunktionen oder Schwachstellen der von den Lieferanten bereitgestellten Produkte (einschließlich der in diesen Produkten verwendeten Softwarekomponenten und Unterkomponenten) oder Dienstleistungen;
g) Überwachung der Einhaltung festgelegter Informationssicherheitsanforderungen für jede Art von Lieferant und Zugangsart, einschließlich der Überprüfung durch Dritte und der Produktvalidierung; 
h) Entschärfung von Verstößen eines Lieferanten, unabhängig davon, ob diese durch Überwachung oder auf andere Weise festgestellt wurden;
i) Umgang mit Zwischenfällen und Eventualitäten im Zusammenhang mit Produkten und Dienstleistungen von Zulieferern, einschließlich der Verantwortlichkeiten sowohl der Organisation als auch der Zulieferer; 
j) Widerstandsfähigkeit und, falls erforderlich, Wiederherstellungs- und Notfallmaßnahmen, um die Verfügbarkeit der Informationen und der Informationsverarbeitung des Zulieferers und damit die Verfügbarkeit der Informationen der Organisation zu gewährleisten; 
k) Sensibilisierung und Schulung des Personals der Organisation, das mit dem Personal des Lieferanten interagiert, in Bezug auf angemessene Verhaltensregeln, themenspezifische Richtlinien, Prozesse und Verfahren sowie Verhaltensweisen, die auf der Art des Lieferanten und dem Grad des Zugriffs des Lieferanten auf die Systeme und Informationen der Organisation beruhen; 
l) Verwaltung der notwendigen Übertragung von Informationen, anderen zugehörigen Vermögenswerten und allen anderen Dingen, die geändert werden müssen, und Gewährleistung, dass die Informationssicherheit während des gesamten Übertragungszeitraums aufrechterhalten wird; 
m) Anforderungen zur Gewährleistung einer sicheren Beendigung der Lieferantenbeziehung, einschließlich:
  1) Entzug von Zugriffsrechten; 
  2) Umgang mit Informationen; 
  3) Bestimmung der Eigentumsrechte an geistigem Eigentum, das während des Auftrags entwickelt wurde; 
  4) Übertragbarkeit von Informationen bei einem Wechsel des Lieferanten oder Insourcing; 
  6) Verwaltung von Aufzeichnungen; 
  7) Rückgabe von Vermögenswerten; 
  8) sichere Entsorgung von Informationen und anderen zugehörigen Vermögenswerten; 
  9) fortlaufende Vertraulichkeitsanforderungen; 
n) Niveau der Personalsicherheit und der physischen Sicherheit, das vom Personal und den Einrichtungen des Lieferanten erwartet wird.
Die Verfahren für die Fortsetzung der Informationsverarbeitung für den Fall, dass der Lieferant nicht mehr in der Lage ist, seine Produkte oder Dienstleistungen zu liefern (z. B. aufgrund eines Zwischenfalls, weil der Lieferant nicht mehr im Geschäft ist oder einige Komponenten aufgrund technologischer Fortschritte nicht mehr anbietet), sollten in Betracht gezogen werden, um Verzögerungen bei der Beschaffung von Ersatzprodukten oder -dienstleistungen zu vermeiden (z. B. durch die frühzeitige Identifizierung eines alternativen Lieferanten oder die ständige Nutzung alternativer Lieferanten).</t>
  </si>
  <si>
    <t>Lieferantenvereinbarungen sollten erstellt und dokumentiert werden, um sicherzustellen, dass zwischen der Organisation und dem Lieferanten ein klares Einvernehmen über die Verpflichtungen beider Parteien zur Erfüllung der relevanten Informationssicherheitsanforderungen besteht.
Die folgenden Bestimmungen können in die Vereinbarungen aufgenommen werden, um die ermittelten Anforderungen an die Informationssicherheit zu erfüllen:
a) Beschreibung der bereitzustellenden oder abzurufenden Informationen und der Methoden zur Bereitstellung oder zum Abruf der Informationen; 
b) Klassifizierung der Informationen gemäß dem Klassifizierungsschema der Organisation (siehe 5.10, 5.12, 5.13); 
c) Zuordnung zwischen dem Klassifizierungsschema der Organisation und dem Klassifizierungsschema des Lieferanten; 
d) rechtliche, gesetzliche, behördliche und vertragliche Anforderungen, einschließlich des Datenschutzes, des Umgangs mit personenbezogenen Daten (PII), der Rechte an geistigem Eigentum und des Urheberrechts, sowie eine Beschreibung, wie sichergestellt wird, dass diese eingehalten werden; 
e) die Verpflichtung jeder Vertragspartei, eine vereinbarte Reihe von Kontrollen durchzuführen, einschließlich Zugangskontrolle, Leistungsüberprüfung, Überwachung, Berichterstattung und Prüfung, sowie die Verpflichtung des Lieferanten, die Anforderungen der Organisation an die Informationssicherheit einzuhalten; 
f) Regeln für die zulässige Nutzung von Informationen und anderen zugehörigen Vermögenswerten, einschließlich der unzulässigen Nutzung, falls erforderlich; 
g) Verfahren oder Bedingungen für die Genehmigung und den Entzug der Genehmigung für die Nutzung von Informationen und anderen zugehörigen Vermögenswerten der Organisation durch das Personal des Lieferanten (z. B. durch eine ausdrückliche Liste von Lieferanten, die für die Nutzung von Informationen und anderen zugehörigen Vermögenswerten zuständig sind)
h) Anforderungen an die Informationssicherheit in Bezug auf die IKT-Infrastruktur des Lieferanten, insbesondere Mindestanforderungen an die Informationssicherheit für jede Art von Informationen und jede Art von Zugriff, die als Grundlage für individuelle Lieferantenvereinbarungen auf der Grundlage der Geschäftsanforderungen und Risikokriterien der Organisation dienen sollen;
i) Entschädigungen und Abhilfemaßnahmen für den Fall, dass der Auftragnehmer die Anforderungen nicht erfüllt; 
j) Anforderungen und Verfahren für das Management von Zwischenfällen (insbesondere Benachrichtigung und Zusammenarbeit bei der Behebung von Zwischenfällen); 
k) Schulungs- und Sensibilisierungsanforderungen für bestimmte Verfahren und Anforderungen an die Informationssicherheit (z. B. für die Reaktion auf Zwischenfälle, Genehmigungsverfahren); 
l) einschlägige Bestimmungen für die Vergabe von Unteraufträgen, einschließlich der zu implementierenden Kontrollen, wie z. B. die Vereinbarung über den Einsatz von Unterauftragnehmern (z. B. 
m) einschlägige Kontakte, einschließlich eines Ansprechpartners für Fragen der Informationssicherheit; 
n) etwaige Anforderungen an die Überprüfung des Personals des Lieferanten, soweit dies rechtlich zulässig ist, einschließlich der Verantwortlichkeiten für die Durchführung der Überprüfung und der Benachrichtigungsverfahren, wenn die Überprüfung nicht abgeschlossen wurde oder die Ergebnisse Anlass zu Zweifeln oder Bedenken geben; 
o) die Nachweise und Mechanismen zur Gewährleistung von Bescheinigungen Dritter über die einschlägigen Anforderungen an die Informationssicherheit im Zusammenhang mit den Prozessen des Lieferanten und einen unabhängigen Bericht über die Wirksamkeit der Kontrollen; 
p) das Recht, die Prozesse und Kontrollen des Lieferanten im Zusammenhang mit der Vereinbarung zu prüfen; 
q) die Verpflichtung des Lieferanten, regelmäßig einen Bericht über die Wirksamkeit der Kontrollen vorzulegen, und die Vereinbarung über die rechtzeitige Behebung der in dem Bericht angesprochenen Probleme; 
r) Verfahren zur Behebung von Mängeln und Konflikten; 
s) die Bereitstellung von Sicherungskopien, die auf die Bedürfnisse der Organisation abgestimmt sind (in Bezug auf Häufigkeit, Art und Aufbewahrungsort); 
t) die Gewährleistung der Verfügbarkeit einer alternativen Einrichtung (d. h.e. t) Sicherstellung der Verfügbarkeit einer alternativen Einrichtung (d. h. eines 
Standorts für die Wiederherstellung im Katastrophenfall), die nicht denselben Bedrohungen ausgesetzt ist wie die primäre Einrichtung, und Überlegungen zu Ausweichkontrollen (alternativen Kontrollen) für den Fall, dass die primären Kontrollen ausfallen; 
u) Vorhandensein eines Änderungsverwaltungsprozesses, der die vorherige Benachrichtigung der Organisation und die Möglichkeit für die Organisation, Änderungen nicht zu akzeptieren, sicherstellt; 
v) physische Sicherheitskontrollen, die der Einstufung der Informationen entsprechen; 
w) Informationsübertragungskontrollen zum Schutz der Informationen während der physischen Übertragung oder der logischen Übertragung; 
x) Kündigungsklauseln bei Vertragsende, einschließlich der Verwaltung von Aufzeichnungen, der Rückgabe von Vermögenswerten, der sicheren Entsorgung von Informationen und anderen zugehörigen Vermögenswerten sowie etwaiger laufender Vertraulichkeitsverpflichtungen; 
y) Bereitstellung einer Methode zur sicheren Vernichtung der vom Lieferanten gespeicherten Informationen der Organisation, sobald diese nicht mehr benötigt werden; 
z) Gewährleistung der Übergabe der Unterstützung an einen anderen Lieferanten oder an die Organisation selbst bei Vertragsende
.
Die Organisation sollte ein Verzeichnis der Vereinbarungen mit externen Parteien (z. B. Verträge, Absichtserklärungen, Vereinbarungen über die gemeinsame Nutzung von Informationen) erstellen und pflegen, um den Überblick über den Verbleib ihrer Informationen zu behalten. Die Organisation sollte auch ihre Vereinbarungen mit externen Parteien regelmäßig überprüfen, validieren und aktualisieren, um sicherzustellen, dass sie weiterhin erforderlich und zweckdienlich sind und die relevanten Informationssicherheitsklauseln enthalten.</t>
  </si>
  <si>
    <t>Die folgenden Themen sollten in Betracht gezogen werden, um die Informationssicherheit innerhalb der IKT-Lieferkette zusätzlich zu den allgemeinen Informationssicherheitsanforderungen für Lieferantenbeziehungen zu behandeln:
a) Festlegung von Anforderungen an die Informationssicherheit, die für die Beschaffung von IKT-Produkten oder -Dienstleistungen gelten; 
b) Anforderung, dass die Lieferanten von IKT-Dienstleistungen die Sicherheitsanforderungen der Organisation in der gesamten Lieferkette weitergeben, wenn sie Teile der für die Organisation erbrachten IKT-Dienstleistung an Unterauftragnehmer vergeben; 
c) Anforderung, dass die Lieferanten von IKT-Produkten geeignete Sicherheitspraktiken in der gesamten Lieferkette weitergeben, wenn diese Produkte Komponenten enthalten, die von anderen Lieferanten oder anderen Stellen gekauft oder erworben wurden (z. B. 
d) Anforderung, dass die Lieferanten von IKT-Produkten Informationen über die in den Produkten verwendeten Softwarekomponenten zur Verfügung stellen; 
e) Anforderung, dass die Lieferanten von IKT-Produkten Informationen über die implementierten Sicherheitsfunktionen ihres Produkts und die für den sicheren Betrieb erforderliche Konfiguration zur Verfügung stellen; 
f) Einführung eines Überwachungsprozesses und akzeptabler Methoden zur Überprüfung, ob die gelieferten IKT-Produkte und -Dienstleistungen den angegebenen Sicherheitsanforderungen entsprechen. Beispiele für solche Überprüfungsmethoden des Lieferanten können Penetrationstests und der Nachweis oder die Validierung von Bescheinigungen Dritter für die Informationssicherheitsmaßnahmen des Lieferanten sein; 
g) Einführung eines Verfahrens zur Identifizierung und Dokumentation von Produkt- oder Dienstleistungskomponenten, die für die Aufrechterhaltung der Funktionalität kritisch sind und daher erhöhte Aufmerksamkeit, Prüfung und weitere Nachverfolgung erfordern, wenn sie außerhalb der Organisation hergestellt werden, insbesondere wenn der Lieferant Aspekte von Produkt- oder Dienstleistungskomponenten an andere Lieferanten auslagert; 
h) Erlangung der Gewissheit, dass kritische Komponenten und ihre Herkunft über die gesamte Lieferkette zurückverfolgt werden können;
i) Sicherstellung, dass die gelieferten IKT-Produkte wie erwartet funktionieren und keine unerwarteten oder unerwünschten Merkmale aufweisen; 
j) Einführung von Verfahren, die sicherstellen, dass die von den Lieferanten gelieferten Komponenten echt sind und nicht von ihren Spezifikationen abweichen. Zu den Maßnahmen gehören z. B. Etiketten zum Schutz vor Manipulationen, kryptographische Hash-Prüfungen oder digitale Signaturen. Die Überwachung der Leistung außerhalb der Spezifikation kann ein Indikator für Manipulationen oder Fälschungen sein. Die Verhinderung und Aufdeckung von Manipulationen sollte in mehreren Phasen des Lebenszyklus der Systementwicklung erfolgen, einschließlich Entwurf, Entwicklung, Integration, Betrieb und Wartung; 
k) Gewährleistung, dass IKT-Produkte die geforderten Sicherheitsniveaus erreichen, z. B. durch formale Zertifizierung oder ein Bewertungsschema wie das Common Criteria Recognition Arrangement; 
l) Festlegung von Regeln für den Austausch von Informationen über die Lieferkette und alle potenziellen Probleme und Kompromisse zwischen der Organisation und den Lieferanten; 
m) Einführung spezifischer Prozesse für das Management des Lebenszyklus und der Verfügbarkeit von IKT-Komponenten und der damit verbundenen Sicherheitsrisiken. Dazu gehört auch das Management des Risikos, dass Komponenten nicht mehr verfügbar sind, weil die Lieferanten nicht mehr im Geschäft sind oder diese Komponenten aufgrund des technologischen Fortschritts nicht mehr liefern. Die Identifizierung eines alternativen Lieferanten und das Verfahren zur Übertragung von Software und Kompetenzen auf den alternativen Lieferanten sollten in Betracht gezogen werden.</t>
  </si>
  <si>
    <t>Die Überwachung, Überprüfung und Änderungsverwaltung von Lieferantenleistungen sollte sicherstellen, dass die Informationssicherheitsbedingungen der Vereinbarungen eingehalten werden, dass Vorfälle und Probleme im Bereich der Informationssicherheit ordnungsgemäß behandelt werden und dass Änderungen der Lieferantenleistungen oder des Geschäftsstatus die Leistungserbringung nicht beeinträchtigen.
Dies sollte einen Prozess beinhalten, der die Beziehung zwischen der Organisation und dem Lieferanten verwaltet, um: 
a) die Leistungsniveaus der Dienste zu überwachen, um die Einhaltung der Vereinbarungen zu überprüfen; 
b) die von den Lieferanten vorgenommenen Änderungen zu überwachen, einschließlich: 
1) Verbesserungen der gegenwärtig angebotenen Dienste; 
2) Entwicklung neuer Anwendungen und Systeme; 
3) Änderungen oder Aktualisierungen der Richtlinien und Verfahren des Lieferanten; 
4) neue oder geänderte Kontrollen, um Vorfälle im Bereich der Informationssicherheit zu beheben und die Informationssicherheit zu verbessern; 
c) Änderungen der Dienste des Lieferanten zu überwachen, einschließlich:
1) Änderungen und Erweiterungen von Netzwerken; 
2) Einsatz neuer Technologien; 
3) Einführung neuer Produkte oder neuerer Versionen oder Releases; 
4) neue Entwicklungswerkzeuge und -umgebungen; 
5) Änderungen des physischen Standorts von Dienstleistungseinrichtungen; 
6) Wechsel von Unterlieferanten; 
7) Vergabe von Unteraufträgen an einen anderen Lieferanten; 
d) Überprüfung der vom Lieferanten erstellten Dienstleistungsberichte und Organisation regelmäßiger Fortschrittsbesprechungen gemäß den Vereinbarungen; 
e) Durchführung von Audits bei Lieferanten und Unterlieferanten in Verbindung mit der Überprüfung von Berichten unabhängiger Prüfer, sofern vorhanden, und Weiterverfolgung der festgestellten Probleme; 
f) Bereitstellung von Informationen über Vorfälle im Bereich der Informationssicherheit und Überprüfung dieser Informationen gemäß den Vereinbarungen und etwaigen unterstützenden Leitlinien und Verfahren; 
g) Überprüfung der Prüfpfade und Aufzeichnungen des Lieferanten über Vorfälle im Bereich der Informationssicherheit, betriebliche Probleme, Ausfälle, Rückverfolgung von Fehlern und Unterbrechungen im Zusammenhang mit der erbrachten Dienstleistung; 
h) Reaktion auf festgestellte Vorfälle oder Zwischenfälle im Bereich der Informationssicherheit und deren Behandlung;
i) Schwachstellen in der Informationssicherheit zu erkennen und zu beheben; 
j) die Informationssicherheitsaspekte der Beziehungen des Lieferanten zu seinen eigenen Lieferanten zu überprüfen; 
k) sicherzustellen, dass der Lieferant ausreichende Dienstleistungskapazitäten zusammen mit praktikablen Plänen aufrechterhält, die gewährleisten sollen, dass die vereinbarten Dienstkontinuitätsniveaus nach größeren Dienstausfällen oder Katastrophen aufrechterhalten werden (siehe 5.29, 5.30, 5.35, 5.36, 8.14); 
l) sicherzustellen, dass die Lieferanten Verantwortlichkeiten für die Überprüfung der Einhaltung und Durchsetzung der Anforderungen der Vereinbarungen zuweisen; 
m) regelmäßig zu bewerten, dass die Lieferanten ein angemessenes Informationssicherheitsniveau aufrechterhalten.
Die Verantwortung für die Verwaltung der Lieferantenbeziehungen sollte einer bestimmten Person oder einem Team zugewiesen werden. Es sollten ausreichende technische Fähigkeiten und Ressourcen zur Verfügung gestellt werden, um zu überwachen, dass die Anforderungen der Vereinbarung, insbesondere die Anforderungen an die Informationssicherheit, erfüllt werden. Es sollten geeignete Maßnahmen ergriffen werden, wenn Mängel bei der Leistungserbringung festgestellt werden.</t>
  </si>
  <si>
    <t>Die Organisation sollte eine themenspezifische Politik zur Nutzung von Cloud-Diensten aufstellen und allen relevanten interessierten Parteien mitteilen.
Die Organisation soll definieren und kommunizieren, wie sie beabsichtigt, Informationssicherheitsrisiken im Zusammenhang mit der Nutzung von Cloud-Diensten zu managen. Dies kann eine Erweiterung oder ein Teil des bestehenden Ansatzes sein, wie eine Organisation die von externen Parteien bereitgestellten Dienste verwaltet (siehe 5.21 und 5.22). 
Die Nutzung von Cloud-Diensten kann eine gemeinsame Verantwortung für die Informationssicherheit und eine Zusammenarbeit zwischen dem Anbieter von Cloud-Diensten und der Organisation, die als Kunde von Cloud-Diensten auftritt, beinhalten. Es ist von entscheidender Bedeutung, dass die Verantwortlichkeiten sowohl für den Cloud-Service-Anbieter als auch für die Organisation, die als Cloud-Service-Kunde auftritt, definiert und angemessen umgesetzt werden.
Die Organisation sollte Folgendes festlegen
a) alle relevanten Anforderungen an die Informationssicherheit im Zusammenhang mit der Nutzung von Cloud-Diensten; 
b) Kriterien für die Auswahl von Cloud-Diensten und den Umfang der Nutzung von Cloud-Diensten; 
c) Rollen und Verantwortlichkeiten im Zusammenhang mit der Nutzung und Verwaltung von Cloud-Diensten; 
d) welche Informationssicherheitskontrollen vom Cloud-Diensteanbieter und welche von der Organisation als Cloud-Dienste-Kunde verwaltet werden; 
e) die Art und Weise, wie die vom Cloud-Service-Anbieter bereitgestellten Informationssicherheitsfunktionen erhalten und genutzt werden können; f) die Art und Weise, wie die von Cloud-Service-Anbietern implementierten Informationssicherheitskontrollen bestätigt werden können; 
g) die Art und Weise, wie Kontrollen, Schnittstellen und Änderungen von Diensten verwaltet werden, wenn eine Organisation mehrere Cloud-Services nutzt, insbesondere von verschiedenen Cloud-Service-Anbietern; 
h) Verfahren für den Umgang mit Informationssicherheitsvorfällen, die im Zusammenhang mit der Nutzung von Cloud-Services auftreten;
i) ihren Ansatz für die Überwachung, Überprüfung und Bewertung der laufenden Nutzung von Cloud-Diensten zur Beherrschung von Informationssicherheitsrisiken; 
j) wie die Nutzung von Cloud-Diensten geändert oder beendet werden kann, einschließlich Ausstiegsstrategien für Cloud-Dienste.
Vereinbarungen über Cloud-Dienste sind oft vordefiniert und können nicht ausgehandelt werden. Für alle Cloud-Dienste sollte die Organisation die Cloud-Service-Vereinbarungen mit dem/den Cloud-Service-Anbieter(n) überprüfen. Eine Cloud-Service-Vereinbarung sollte die Anforderungen der Organisation an die Vertraulichkeit, Integrität, Verfügbarkeit und den Umgang mit Informationen sowie die entsprechenden Ziele für die Cloud-Service-Ebene und die Qualität der Cloud-Services berücksichtigen. Die Organisation sollte auch entsprechende Risikobewertungen durchführen, um die mit der Nutzung des Cloud-Dienstes verbundenen Risiken zu ermitteln. Etwaige Restrisiken, die mit der Nutzung des Cloud-Dienstes verbunden sind, sollten eindeutig ermittelt und von der zuständigen Leitung der Organisation akzeptiert werden.
Eine Vereinbarung zwischen dem Anbieter des Cloud-Dienstes und der Organisation, die als Kunde des Cloud-Dienstes auftritt, sollte die folgenden Bestimmungen zum Schutz der Daten der Organisation und zur Verfügbarkeit der Dienste enthalten:
a) Bereitstellung von Lösungen auf der Grundlage anerkannter Industrienormen für Architektur und Infrastruktur; 
b) Verwaltung der Zugangskontrollen des Cloud-Dienstes, um die Anforderungen der Organisation zu erfüllen; 
c) Implementierung von Lösungen zur Überwachung und zum Schutz vor Malware; 
d) Verarbeitung und Speicherung der sensiblen Daten der Organisation an zugelassenen Standorten (z. B. in einem bestimmten Land oder einer bestimmten Region) oder innerhalb oder außerhalb der Organisation. d) Verarbeitung und Speicherung sensibler Daten der Organisation an zugelassenen Standorten (z. B. in einem bestimmten Land oder einer bestimmten Region) oder innerhalb einer bestimmten Gerichtsbarkeit oder unter einer bestimmten Gerichtsbarkeit; 
e) Bereitstellung spezieller Unterstützung bei einem Vorfall im Bereich der Informationssicherheit in der Umgebung des Cloud-Dienstes; 
f) Gewährleistung, dass die Anforderungen der Organisation an die Informationssicherheit erfüllt werden, wenn Cloud-Dienste an einen externen Anbieter weitervergeben werden (oder Verbot der Weitervergabe von Cloud-Diensten an Unterauftragnehmer); 
g) Unterstützung der Organisation bei der Sammlung digitaler Beweise unter Berücksichtigung der Gesetze und Vorschriften für digitale Beweise in verschiedenen Gerichtsbarkeiten; 
h) Bereitstellung angemessener Unterstützung und Verfügbarkeit von Diensten für einen angemessenen Zeitraum, wenn die Organisation den Cloud-Dienst verlassen möchte;
i) Bereitstellung der erforderlichen Sicherungskopien von Daten und Konfigurationsinformationen und gegebenenfalls sichere Verwaltung der Sicherungskopien auf der Grundlage der Fähigkeiten des von der als Cloud-Service-Kunde handelnden Organisation genutzten Cloud-Service-Anbieters; 
j) Bereitstellung und Rückgabe von Informationen wie Konfigurationsdateien, Quellcode und Daten, die Eigentum der als Cloud-Service-Kunde handelnden Organisation sind, auf Anfrage während der Erbringung der Dienstleistung oder bei Beendigung der Dienstleistung.
Die Organisation, die als Cloud-Service-Kunde auftritt, sollte prüfen, ob der Vertrag vorsehen sollte, dass Cloud-Service-Anbieter vor wesentlichen, sich auf den Kunden auswirkenden Änderungen an der Art und Weise, wie der Dienst für die Organisation erbracht wird, eine Vorabmitteilung übermitteln müssen, einschließlich:
a) Änderungen an der technischen Infrastruktur (z. B. Verlagerung, Neukonfiguration oder Änderungen an Hardware oder Software), die sich auf das Cloud-Service-Angebot auswirken oder dieses verändern; 
b) Verarbeitung oder Speicherung von Informationen in einem neuen geografischen oder rechtlichen Zuständigkeitsbereich; 
c) Nutzung von Cloud-Service-Anbietern oder anderen Unterauftragnehmern (einschließlich des Wechsels bestehender oder der Nutzung neuer Parteien).
Die Organisation, die Cloud-Dienste nutzt, sollte engen Kontakt zu ihren Cloud-Dienstanbietern halten. Diese Kontakte ermöglichen den gegenseitigen Austausch von Informationen über die Informationssicherheit bei der Nutzung von Cloud-Diensten, einschließlich eines Mechanismus, mit dem sowohl der Anbieter des Cloud-Dienstes als auch die Organisation, die als Kunde des Cloud-Dienstes auftritt, die einzelnen Dienstmerkmale überwachen und Verstöße gegen die in den Vereinbarungen enthaltenen Verpflichtungen melden können.</t>
  </si>
  <si>
    <t>Rollen und Verantwortlichkeiten
Die Organisation sollte geeignete Verfahren für das Management von Informationssicherheitsvorfällen einrichten. Die Rollen und Zuständigkeiten für die Durchführung der Verfahren zum Management von Zwischenfällen sollten festgelegt und den relevanten internen und externen Beteiligten wirksam mitgeteilt werden.
Folgendes sollte in Betracht gezogen werden:
a) Einführung einer gemeinsamen Methode für die Meldung von Informationssicherheitsvorfällen, einschließlich eines Ansprechpartners 
(siehe 6.8); 
b) Einführung eines Verfahrens für das Management von Vorfällen, um die Organisation in die Lage zu versetzen, Informationssicherheitsvorfälle zu verwalten, einschließlich Verwaltung, Dokumentation, Erkennung, Sichtung, Priorisierung, Analyse, Kommunikation und Koordinierung der betroffenen Parteien; 
c) Einführung eines Verfahrens für die Reaktion auf Vorfälle, um die Organisation in die Lage zu versetzen, Informationssicherheitsvorfälle zu bewerten, auf sie zu reagieren und aus ihnen zu lernen; 
d) Erlaubnis, dass nur kompetentes Personal die Probleme im Zusammenhang mit Informationssicherheitsvorfällen innerhalb der Organisation behandelt. Diesem Personal sollten Verfahrensdokumente und regelmäßige Schulungen zur Verfügung gestellt werden; 
e) Einführung eines Verfahrens zur Ermittlung der erforderlichen Schulungen, Zertifizierungen und ständigen beruflichen Weiterbildung 
für das Personal, das auf Vorfälle reagiert.
Verfahren für das Management von Zwischenfällen
Die Ziele für das Management von Informationssicherheitsvorfällen sollten mit der Geschäftsleitung vereinbart werden, und es sollte sichergestellt werden, dass die für das Management von Informationssicherheitsvorfällen verantwortlichen Personen die Prioritäten der Organisation für den Umgang mit Informationssicherheitsvorfällen verstehen, einschließlich des Zeitrahmens für die Behebung von Vorfällen auf der Grundlage der möglichen Folgen und des Schweregrads. Es sollten Verfahren für das Management von Zwischenfällen eingeführt werden, um diese Ziele und Prioritäten zu erfüllen.
Das Management sollte sicherstellen, dass ein Plan für das Management von Informationssicherheitsvorfällen erstellt wird, der verschiedene Szenarien berücksichtigt, und dass Verfahren für die folgenden Aktivitäten entwickelt und umgesetzt werden:
a) Bewertung von Informationssicherheitsvorfällen gemäß den Kriterien, die einen Informationssicherheitsvorfall ausmachen; 
b) Überwachung (siehe 8.15 und 8.16), Erkennung (siehe 8.16), Klassifizierung (siehe 5.25), Analyse und Meldung (siehe 6.8) von Informationssicherheitsvorfällen und -vorfällen (durch menschliche oder automatische Mittel); 
c) Management von Informationssicherheitsvorfällen bis zum Abschluss, einschließlich Reaktion und Eskalation (siehe 5.26), je nach Art und Kategorie des Vorfalls, mögliche Aktivierung des Krisenmanagements und Aktivierung von Kontinuitätsplänen, kontrollierte Wiederherstellung nach einem Vorfall und Kommunikation mit internen und externen interessierten Parteien; 
d) Koordinierung mit internen und externen interessierten Parteien wie Behörden, externen Interessengruppen und -foren, Lieferanten und Kunden (siehe 5.5 und 5.6); 
e) Protokollierung der Vorfallmanagementaktivitäten; f) Umgang mit Beweismaterial (siehe 5.28); 
g) Ursachenanalyse oder Post-Mortem-Verfahren; 
h) Ermittlung der gewonnenen Erkenntnisse und aller erforderlichen Verbesserungen der Vorfallmanagementverfahren oder der Informationssicherheitskontrollen im Allgemeinen.
Meldeverfahren
Die Meldeverfahren sollten Folgendes umfassen:
a) Maßnahmen, die im Falle eines Informationssicherheitsvorfalls zu ergreifen sind (z.B. sofortiges Notieren aller relevanten Details wie aufgetretene Fehlfunktionen und Meldungen auf dem Bildschirm, sofortige Meldung an die Kontaktstelle und nur koordinierte Maßnahmen); 
b) Verwendung von Vorfallsformularen, um das Personal bei der Durchführung aller erforderlichen Maßnahmen bei der Meldung von Informationssicherheitsvorfällen zu unterstützen; 
c) geeignete Rückmeldeverfahren, um sicherzustellen, dass die Personen, die Informationssicherheitsvorfälle melden, so weit wie möglich über die Ergebnisse informiert werden, nachdem das Problem behandelt und abgeschlossen wurde; 
d) Erstellung von Vorfallsberichten.
Externe Anforderungen an die Meldung von Vorfällen an relevante interessierte Parteien innerhalb des festgelegten Zeitrahmens (z. B. Meldepflichten gegenüber Aufsichtsbehörden) sollten bei der Einführung von Verfahren für das Vorfallsmanagement berücksichtigt werden.</t>
  </si>
  <si>
    <t>Es sollte ein Schema zur Einstufung und Priorisierung von Informationssicherheitsvorfällen vereinbart werden, um die Folgen und die Priorität eines Vorfalls zu ermitteln. Das Schema sollte die Kriterien für die Einstufung von Ereignissen als Informationssicherheitsvorfälle enthalten. Die Kontaktstelle sollte jedes Informationssicherheitsereignis anhand des vereinbarten Schemas bewerten.
Das für die Koordinierung und Reaktion auf Informationssicherheitsvorfälle zuständige Personal sollte die Bewertung durchführen und eine Entscheidung über Informationssicherheitsvorfälle treffen.
Die Ergebnisse der Bewertung und der Entscheidung sollten zum Zweck der späteren Bezugnahme und Überprüfung detailliert aufgezeichnet werden.</t>
  </si>
  <si>
    <t>Die Organisation soll Verfahren für die Reaktion auf Informationssicherheitsvorfälle einführen und allen relevanten interessierten Parteien mitteilen.
Auf Vorfälle im Bereich der Informationssicherheit soll ein bestimmtes Team mit der erforderlichen Kompetenz reagieren (siehe 5.24).
Die Reaktion soll folgendes beinhalten:
a) Eingrenzung der von dem Vorfall betroffenen Systeme, falls sich die Folgen des Vorfalls ausbreiten können; 
b) Sammlung von Beweisen (siehe 5.28) so bald wie möglich nach dem Vorfall; 
c) Eskalation, falls erforderlich, einschließlich Krisenmanagementaktivitäten und möglicherweise Inanspruchnahme von Business-Continuity-Plänen (siehe 5.29 und 5.30); 
d) Sicherstellung, dass alle beteiligten Reaktionsaktivitäten für eine spätere Analyse ordnungsgemäß protokolliert werden; 
e) Mitteilung der Existenz des Informationssicherheitsvorfalls oder relevanter Details an alle relevanten internen und externen interessierten Parteien unter Beachtung des Need-to-know-Prinzips; 
f) Koordinierung mit internen und externen Parteien wie Behörden, externen Interessengruppen und Foren, Lieferanten und Kunden, um die Wirksamkeit der Reaktion zu verbessern und dazu beizutragen, die Folgen für andere Organisationen zu minimieren; 
g) nach erfolgreicher Bewältigung des Vorfalls förmlicher Abschluss und Aufzeichnung des Vorfalls; 
h) Durchführung einer forensischen Analyse der Informationssicherheit, falls erforderlich (siehe 5.28);
i) Durchführung einer Analyse nach dem Vorfall zur Ermittlung der Grundursache. Es ist sicherzustellen, dass dies gemäß den festgelegten Verfahren dokumentiert und mitgeteilt wird (siehe 5.27); 
j) Ermittlung und Behebung von Schwachstellen in der Informationssicherheit, einschließlich der Schwachstellen im Zusammenhang mit Kontrollen, die den Vorfall verursacht, zu ihm beigetragen oder ihn nicht verhindert haben.</t>
  </si>
  <si>
    <t>Die Organisation sollte Verfahren zur Quantifizierung und Überwachung von Art, Umfang und Kosten von Informationssicherheitsvorfällen einführen.
Die aus der Auswertung von Informationssicherheitsvorfällen gewonnenen Informationen sollen genutzt werden, um:
a) den Plan für das Management von Zwischenfällen, einschließlich der Szenarien und Verfahren für Zwischenfälle (siehe 5.24), zu verbessern; 
b) wiederkehrende oder schwerwiegende Zwischenfälle und ihre Ursachen zu identifizieren, um die Risikobewertung der Organisation für die Informationssicherheit zu aktualisieren und die notwendigen zusätzlichen Kontrollen zu bestimmen und umzusetzen, um die Wahrscheinlichkeit oder die Folgen künftiger ähnlicher Zwischenfälle zu verringern. Zu den Mechanismen, die dies ermöglichen, gehören das Sammeln, Quantifizieren und Überwachen von Informationen über die Art, das Ausmaß und die Kosten von Zwischenfällen; 
c) die Sensibilisierung und Schulung der Benutzer (siehe 6.3) durch die Bereitstellung von Beispielen dafür, was passieren kann, wie man auf solche Zwischenfälle reagiert und wie man sie in Zukunft vermeiden kann.</t>
  </si>
  <si>
    <t>Interne Verfahren sollten entwickelt und befolgt werden, wenn es um Beweise im Zusammenhang mit Informationssicherheitsvorfällen für die Zwecke von Disziplinar- und Gerichtsverfahren geht. Dabei sollten die Anforderungen der verschiedenen Rechtsordnungen berücksichtigt werden, um die Chancen für eine Zulassung in den jeweiligen Rechtsordnungen zu maximieren.
Im Allgemeinen sollten diese Verfahren für die Verwaltung von Beweismitteln Anweisungen für die Identifizierung, Sammlung, Beschaffung und Aufbewahrung von Beweismitteln in Übereinstimmung mit den verschiedenen Arten von Speichermedien, Geräten und dem Status der Geräte (d. h. ein- oder ausgeschaltet) enthalten. Die Beweise müssen in der Regel so gesammelt werden, dass sie vor den zuständigen nationalen Gerichten oder einem anderen Disziplinarorgan zugelassen werden können. Es sollte nachgewiesen werden können, dass:
a) die Aufzeichnungen vollständig sind und in keiner Weise manipuliert wurden; 
b) die Kopien der elektronischen Beweismittel wahrscheinlich mit den Originalen identisch sind; 
c) jedes Informationssystem, aus dem die Beweismittel entnommen wurden, zum Zeitpunkt der Aufzeichnung der Beweismittel korrekt funktionierte.
Sofern verfügbar, sollten Zertifizierungen oder andere einschlägige Mittel zur Qualifizierung von Personal und Instrumenten angestrebt werden, um den Wert der gesicherten Beweismittel zu erhöhen.
Digitale Beweismittel können organisatorische oder rechtliche Grenzen überschreiten. In solchen Fällen sollte sichergestellt werden, dass die Organisation berechtigt ist, die erforderlichen Informationen als digitale Beweismittel zu sammeln.</t>
  </si>
  <si>
    <t>Die Organisation sollte ihre Anforderungen für die Anpassung der Informationssicherheitskontrollen während einer Unterbrechung festlegen. Die Anforderungen an die Informationssicherheit sollten in die Prozesse des Business Continuity Management einbezogen werden.
Es sollten Pläne zur Aufrechterhaltung oder Wiederherstellung der Informationssicherheit kritischer Geschäftsprozesse nach einer Unterbrechung oder einem Ausfall entwickelt, umgesetzt, getestet, überprüft und bewertet werden. Die Sicherheit der Informationen sollte auf dem erforderlichen Niveau und innerhalb des erforderlichen Zeitrahmens wiederhergestellt werden.
Die Organisation sollte Folgendes implementieren und aufrechterhalten:
a) Informationssicherheitskontrollen, unterstützende Systeme und Werkzeuge im Rahmen von Business-Continuity- und IKT-Kontinuitätsplänen; 
b) Prozesse zur Aufrechterhaltung bestehender Informationssicherheitskontrollen während einer Unterbrechung; 
c) kompensierende Kontrollen für Informationssicherheitskontrollen, die während einer Unterbrechung nicht aufrechterhalten werden können.</t>
  </si>
  <si>
    <t>Die IKT-Bereitschaft für die Geschäftskontinuität ist ein wichtiger Bestandteil des Managements der Geschäftskontinuität und der Informationssicherheit, um sicherzustellen, dass die Ziele der Organisation während einer Unterbrechung weiterhin erreicht werden können.
Die Anforderungen an die IKT-Kontinuität sind das Ergebnis der Business Impact Analysis (BIA). Der BIA-Prozess sollte Auswirkungstypen und -kriterien verwenden, um die Auswirkungen zu bewerten, die sich im Laufe der Zeit aus der Unterbrechung von Geschäftsaktivitäten ergeben, die Produkte und Dienstleistungen liefern. Anhand des Ausmaßes und der Dauer der sich ergebenden Auswirkungen sollten priorisierte Aktivitäten ermittelt werden, denen ein Wiederherstellungszeitziel (RTO) zugewiesen werden sollte. Die BIA sollte dann bestimmen, welche Ressourcen zur Unterstützung der prioritären Aktivitäten benötigt werden. Für diese Ressourcen sollte ebenfalls eine RTO festgelegt werden. Eine Teilmenge dieser Ressourcen sollte IKT-Dienste umfassen.
Die BIA, die IKT-Dienste einbezieht, kann erweitert werden, um die Leistungs- und Kapazitätsanforderungen von IKT-Systemen und Wiederherstellungspunktziele (RPO) von Informationen zu definieren, die zur Unterstützung von Aktivitäten während einer Unterbrechung erforderlich sind.
Auf der Grundlage der Ergebnisse der BIA und der Risikobewertung für IKT-Dienste sollte die Organisation IKT-Kontinuitätsstrategien ermitteln und auswählen, die Optionen für die Zeit vor, während und nach einer Unterbrechung berücksichtigen. Die Business-Continuity-Strategien können eine oder mehrere Lösungen umfassen. Auf der Grundlage der Strategien sollen Pläne entwickelt, implementiert und getestet werden, um das erforderliche Verfügbarkeitsniveau der IKT-Dienste in den erforderlichen Zeiträumen nach einer Unterbrechung oder dem Ausfall kritischer Prozesse zu 
erreichen.
Die Organisation soll sicherstellen, dass:
a) eine angemessene Organisationsstruktur vorhanden ist, um sich auf eine Unterbrechung vorzubereiten, diese abzumildern und darauf zu reagieren, unterstützt durch Personal mit der notwendigen Verantwortung, Autorität und Kompetenz; 
b) IKT-Kontinuitätspläne, einschließlich Reaktions- und Wiederherstellungsverfahren, die detailliert beschreiben, wie die Organisation plant, eine Unterbrechung von IKT-Diensten zu bewältigen, 1) regelmäßig durch Übungen und Tests bewertet werden
1) regelmäßig durch Übungen und Tests evaluiert werden; 
2) von der Geschäftsleitung genehmigt werden; 
c) IKT-Kontinuitätspläne die folgenden Informationen zur IKT-Kontinuität enthalten: 
1) Leistungs- und Kapazitätsspezifikationen zur Erfüllung der in der BIA festgelegten Anforderungen und Ziele der Geschäftskontinuität; 
2) RTO jeder priorisierten IKT-Dienstleistung und die Verfahren zur Wiederherstellung dieser Komponenten; 
3) RPO der priorisierten IKT-Ressourcen, die als Informationen definiert sind, und die Verfahren zur Wiederherstellung der Informationen.</t>
  </si>
  <si>
    <t>Allgemein
Externe Anforderungen, einschließlich rechtlicher, gesetzlicher, behördlicher oder vertraglicher Anforderungen, sollten berücksichtigt werden, wenn:
a) Richtlinien und Verfahren für die Informationssicherheit entwickelt werden; 
b) Kontrollen für die Informationssicherheit entworfen, implementiert oder geändert werden; 
c) Informationen und andere zugehörige Vermögenswerte als Teil des Prozesses zur Festlegung von Anforderungen an die Informationssicherheit für interne Bedürfnisse oder für Lieferantenvereinbarungen klassifiziert werden; 
d) Risikobewertungen für die Informationssicherheit durchgeführt und Aktivitäten zur Behandlung von Risiken für die Informationssicherheit festgelegt werden; 
e) Prozesse zusammen mit den zugehörigen Rollen und Verantwortlichkeiten in Bezug auf die Informationssicherheit festgelegt werden; 
f) vertragliche Anforderungen von Lieferanten, die für die Organisation und den Umfang der Lieferung von Produkten und Dienstleistungen relevant sind, festgelegt werden.
Gesetzgebung und Vorschriften Die Organisation soll:
a) alle für die Informationssicherheit der Organisation relevanten Gesetze und Vorschriften ermitteln, um sich der Anforderungen für ihre Art von Geschäft bewusst zu sein; 
b) die Einhaltung der Vorschriften in allen relevanten Ländern berücksichtigen, wenn die Organisation:- 
Produkte und Dienstleistungen aus anderen Ländern nutzt, in denen Gesetze und Vorschriften Auswirkungen auf die Organisation haben können; 
- Informationen über Ländergrenzen hinweg überträgt, in denen Gesetze und Vorschriften Auswirkungen auf die Organisation haben können; 
c) die identifizierten Gesetze und Vorschriften regelmäßig überprüft, um über Änderungen auf dem Laufenden zu bleiben und neue Gesetze zu identifizieren; 
d) die spezifischen Prozesse und individuellen Verantwortlichkeiten zur Erfüllung dieser Anforderungen definiert und dokumentiert.
Kryptographie
Die Kryptographie ist ein Bereich, der häufig besondere rechtliche Anforderungen stellt. Die Einhaltung der einschlägigen Vereinbarungen, Gesetze und Vorschriften zu folgenden Punkten sollte berücksichtigt werden: 
a) Beschränkungen für die Ein- und Ausfuhr von Computerhardware und -software zur Ausführung kryptografischer Funktionen; 
b) Beschränkungen für die Ein- und Ausfuhr von Computerhardware und -software, die für die Hinzufügung kryptografischer Funktionen ausgelegt ist; 
c) Beschränkungen für die Verwendung von Kryptografie; 
d) obligatorische oder freiwillige Methoden des Zugriffs der Behörden der Länder auf verschlüsselte Informationen; 
e) Gültigkeit digitaler Signaturen, Siegel und Zertifikate.
Es wird empfohlen, sich rechtlich beraten zu lassen, wenn es darum geht, die Einhaltung der einschlägigen Gesetze und Vorschriften sicherzustellen, insbesondere wenn verschlüsselte Informationen oder Kryptographietools über Landesgrenzen hinweg transportiert werden.
Verträge
Vertragliche Anforderungen in Bezug auf die Informationssicherheit sollten in folgenden Verträgen enthalten sein:
a) Verträge mit Kunden; 
b) Verträge mit Lieferanten (siehe 5.20); 
c) Versicherungsverträge.</t>
  </si>
  <si>
    <t>Zum Schutz von Material, das als geistiges Eigentum betrachtet werden kann, sollten die folgenden Richtlinien beachtet werden:
a) Festlegung und Bekanntgabe einer themenspezifischen Politik zum Schutz von Rechten an geistigem Eigentum; 
b) Veröffentlichung von Verfahren zur Einhaltung von Rechten an geistigem Eigentum, die die vorschriftsmäßige Verwendung von Software und Informationsprodukten festlegen; 
c) Erwerb von Software nur über bekannte und seriöse Quellen, um sicherzustellen, dass das Urheberrecht nicht verletzt wird; 
d) Führung geeigneter Bestandsregister und Identifizierung aller Vermögenswerte mit Anforderungen zum Schutz von Rechten an geistigem Eigentum; 
e) Führung von Nachweisen und Belegen für das Eigentum an Lizenzen, Handbüchern usw.
f) Sicherstellung, dass die im Rahmen der Lizenz zulässige Höchstzahl von Benutzern oder Ressourcen [z. B. Zentraleinheiten (CPUs)] nicht überschritten wird; 
g) Durchführung von Überprüfungen, um sicherzustellen, dass nur zugelassene Software und lizenzierte Produkte installiert werden; 
h) Bereitstellung von Verfahren zur Aufrechterhaltung angemessener Lizenzbedingungen;
i) Bereitstellung von Verfahren für die Veräußerung oder Übertragung von Software an andere; 
j) Einhaltung der Bedingungen für Software und Informationen, die aus öffentlichen Netzen und externen Quellen bezogen werden; 
k) keine Vervielfältigung, Konvertierung in ein anderes Format oder Extraktion aus kommerziellen Aufnahmen (Video, Audio), die nicht durch das Urheberrecht oder die geltenden Lizenzen gestattet sind; 
l) kein vollständiges oder teilweises Kopieren von Normen (z. B. ISO/IEC International Standards), Büchern, Artikeln, Berichten oder anderen Dokumenten, die nicht durch das Urheberrecht oder die geltenden Lizenzen gestattet sind.</t>
  </si>
  <si>
    <t>Die Organisation sollte die folgenden Schritte unternehmen, um die Authentizität, Zuverlässigkeit, Integrität und Verwendbarkeit von Aufzeichnungen zu schützen, da sich ihr geschäftlicher Kontext und die Anforderungen an ihre Verwaltung im Laufe der Zeit ändern:
a) Erstellung von Richtlinien für die Aufbewahrung, den Umgang mit der Aufbewahrungskette und die Entsorgung von Aufzeichnungen, die auch die Verhinderung von Manipulationen an Aufzeichnungen umfassen. Diese Richtlinien sollten mit der themenspezifischen Politik der Organisation zur Verwaltung von Aufzeichnungen und anderen Anforderungen an Aufzeichnungen in Einklang gebracht werden; 
b) einen Aufbewahrungsplan erstellen, der Aufzeichnungen und den Zeitraum, für den sie aufbewahrt werden sollten, definiert.
Das System zur Aufbewahrung und Handhabung sollte die Identifizierung von Unterlagen und deren Aufbewahrungsdauer unter Berücksichtigung nationaler oder regionaler Gesetze oder Vorschriften sowie gegebenenfalls gemeinschaftlicher oder gesellschaftlicher Erwartungen gewährleisten. Dieses System sollte die angemessene Vernichtung von Unterlagen nach Ablauf dieser Frist ermöglichen, wenn sie von der Organisation nicht mehr benötigt werden.
Bei der Entscheidung über den Schutz bestimmter Organisationsunterlagen sollte die entsprechende Klassifizierung der Informationssicherheit auf der Grundlage des Klassifizierungsschemas der Organisation berücksichtigt werden. Die Aufzeichnungen sollten in Kategorien eingeteilt werden (z. B. Buchhaltungsunterlagen, Geschäftsvorgänge, Personalunterlagen, rechtliche Unterlagen), jeweils mit Angaben zu den Aufbewahrungsfristen und der Art der zulässigen Speichermedien, die physisch oder elektronisch sein können.
Die Datenspeichersysteme sollten so gewählt werden, dass die erforderlichen Aufzeichnungen in einem akzeptablen Zeitrahmen und Format 
abgerufen werden können, je nach den zu erfüllenden Anforderungen.
Werden elektronische Speichermedien gewählt, sollten Verfahren festgelegt werden, die den Zugriff auf die Aufzeichnungen (sowohl auf die Speichermedien als auch auf die Lesbarkeit des Formats) während der gesamten Aufbewahrungsfrist gewährleisten, um einen Verlust aufgrund eines künftigen technologischen Wandels zu verhindern. Alle zugehörigen kryptographischen Schlüssel und Programme, die mit verschlüsselten Archiven oder digitalen Signaturen verbunden sind, sollten ebenfalls aufbewahrt werden, um die Entschlüsselung der Aufzeichnungen für die Dauer der Aufbewahrungsfrist zu ermöglichen (siehe 8.24).
Aufbewahrungs- und Handhabungsverfahren sollten in Übereinstimmung mit den Empfehlungen der Hersteller von Speichermedien durchgeführt werden. Die Möglichkeit einer Verschlechterung der für die Aufbewahrung von Unterlagen verwendeten Medien sollte berücksichtigt werden.</t>
  </si>
  <si>
    <t>Die Organisation soll eine themenspezifische Politik zum Schutz der Privatsphäre und zum Schutz von personenbezogenen Daten einführen und allen relevanten interessierten Parteien mitteilen.
Die Organisation soll Verfahren zur Wahrung der Privatsphäre und zum Schutz von personenbezogenen Daten entwickeln und umsetzen. Diese Verfahren sollten allen relevanten interessierten Parteien, die an der Verarbeitung personenbezogener Daten beteiligt sind, mitgeteilt werden.
Die Einhaltung dieser Verfahren und aller einschlägigen Gesetze und Vorschriften zur Wahrung der Privatsphäre und zum Schutz personenbezogener Daten erfordert angemessene Rollen, Verantwortlichkeiten und Kontrollen. Oft lässt sich dies am besten durch die Ernennung einer verantwortlichen Person, z. B. eines Datenschutzbeauftragten, erreichen, der dem Personal, den Dienstleistern und anderen Beteiligten Hinweise zu ihren jeweiligen Verantwortlichkeiten und den einzuhaltenden spezifischen Verfahren geben sollte.
Die Verantwortung für den Umgang mit personenbezogenen Daten sollte unter Berücksichtigung der einschlägigen Gesetze und Vorschriften geregelt werden.
Es sollten geeignete technische und organisatorische Maßnahmen zum Schutz personenbezogener Daten getroffen werden.</t>
  </si>
  <si>
    <t>Die Organisation sollte über Verfahren zur Durchführung unabhängiger Überprüfungen verfügen. 
Die Geschäftsleitung sollte regelmäßige unabhängige Überprüfungen planen und veranlassen. Die Überprüfungen sollten auch die Bewertung von Verbesserungsmöglichkeiten und die Notwendigkeit von Änderungen am Konzept der Informationssicherheit, einschließlich der Informationssicherheitspolitik, themenspezifischer Richtlinien und anderer Kontrollen, umfassen. 
Solche Überprüfungen sollten von Personen durchgeführt werden, die von dem zu überprüfenden Bereich unabhängig sind (z. B. die Innenrevision, ein unabhängiger Manager oder eine externe Organisation, die auf solche Überprüfungen spezialisiert ist). Die Personen, die diese Überprüfungen durchführen, sollten über die entsprechende Kompetenz verfügen. Die Person, die die Überprüfungen durchführt, sollte nicht in der Hierarchie stehen, um sicherzustellen, dass sie die nötige Unabhängigkeit für eine Beurteilung besitzt.
Die Ergebnisse der unabhängigen Überprüfungen sollten der Leitung, die die Überprüfungen veranlasst hat, und gegebenenfalls der obersten Leitung mitgeteilt werden. Diese Aufzeichnungen sollten aufbewahrt werden. 
Wird bei den unabhängigen Überprüfungen festgestellt, dass der Ansatz und die Umsetzung des Informationssicherheitsmanagements der Organisation unzureichend sind [z. B. werden die dokumentierten Ziele und Anforderungen nicht erfüllt oder entsprechen nicht den Vorgaben der Informationssicherheitspolitik und der themenspezifischen Richtlinien (siehe 5.1)], sollte die Leitung Korrekturmaßnahmen einleiten.
Zusätzlich zu den regelmäßigen unabhängigen Überprüfungen sollte die Organisation die Durchführung unabhängiger Überprüfungen in Betracht ziehen, wenn:
a) Gesetze und Vorschriften, die sich auf die Organisation auswirken, geändert werden; 
b) signifikante Vorfälle auftreten; 
c) die Organisation ein neues Geschäft aufnimmt oder ein bestehendes Geschäft ändert; 
d) die Organisation ein neues Produkt oder eine neue Dienstleistung einsetzt oder die Verwendung eines bestehenden Produkts oder einer bestehenden Dienstleistung ändert; 
e) die Organisation die Kontrollen und Verfahren der Informationssicherheit wesentlich ändert.</t>
  </si>
  <si>
    <t>Manager, Dienstleistungs-, Produkt- oder Informationseigentümer sollten festlegen, wie zu überprüfen ist, ob die in der Informationssicherheitspolitik, in themenspezifischen Richtlinien, Regeln, Normen und anderen geltenden Vorschriften festgelegten Anforderungen an die Informationssicherheit erfüllt werden. Automatische Mess- und Berichterstattungsinstrumente sollten für eine effiziente regelmäßige Überprüfung in Betracht gezogen werden.
Wird bei der Überprüfung eine Nichteinhaltung festgestellt, sollten die Manager: 
a) die Ursachen für die Nichteinhaltung ermitteln; 
b) die Notwendigkeit von Korrekturmaßnahmen zur Erreichung der Einhaltung der Vorschriften bewerten; 
c) geeignete Korrekturmaßnahmen durchführen; 
d) die ergriffenen Korrekturmaßnahmen überprüfen, um ihre Wirksamkeit zu verifizieren und etwaige Mängel oder Schwachstellen zu ermitteln.
Die Ergebnisse der von Managern, Dienstleistungs-, Produkt- oder Informationseigentümern durchgeführten Überprüfungen und Korrekturmaßnahmen sollten aufgezeichnet werden, und diese Aufzeichnungen sollten aufbewahrt werden. Die Führungskräfte sollten die Ergebnisse den Personen mitteilen, die unabhängige Überprüfungen durchführen (siehe 5.35), wenn eine unabhängige Überprüfung in ihrem Verantwortungsbereich stattfindet.
Abhilfemaßnahmen sollten je nach Risiko zeitnah abgeschlossen werden. Wenn sie nicht bis zur nächsten geplanten Überprüfung abgeschlossen sind, sollten die Fortschritte zumindest bei dieser Überprüfung angesprochen werden.</t>
  </si>
  <si>
    <t>Dokumentierte Verfahren sollten für die betrieblichen Aktivitäten der Organisation im Zusammenhang mit der Informationssicherheit erstellt werden, zum Beispiel:
a) wenn die Tätigkeit von vielen Personen auf die gleiche Weise ausgeführt werden muss; 
b) wenn die Tätigkeit selten ausgeführt wird und bei der nächsten Ausführung das Verfahren wahrscheinlich vergessen wurde; 
c) wenn die Tätigkeit neu ist und ein Risiko darstellt, wenn sie nicht korrekt ausgeführt wird; 
d) vor der Übergabe der Tätigkeit an neues Personal. Die Betriebsverfahren sollten Folgendes spezifizieren: 
a) die verantwortlichen Personen; 
b) die sichere Installation und Konfiguration von Systemen; 
c) die Verarbeitung und Handhabung von Informationen, sowohl automatisiert als auch manuell; 
d) Backup (siehe 8.13) und Ausfallsicherheit; 
e) Anforderungen an die Zeitplanung, einschließlich Interdependenzen mit anderen Systemen; 
f) Anweisungen für den Umgang mit Fehlern oder anderen außergewöhnlichen Bedingungen [z.z. B. Einschränkungen bei der Verwendung von Hilfsprogrammen (siehe 8.18)], die während der Auftragsausführung auftreten können; 
g) Support- und Eskalationskontakte einschließlich externer Supportkontakte im Falle unerwarteter betrieblicher oder technischer Schwierigkeiten; 
h) Anweisungen zum Umgang mit Speichermedien (siehe 7.10 und 7.14);
i) Verfahren für den Neustart und die Wiederherstellung des Systems im Falle eines Systemausfalls; 
j) Verwaltung von Prüfpfad- und Systemprotokollinformationen (siehe 8.15 und 8.17) und Videoüberwachungssystemen (siehe 7.4); 
k) Überwachungsverfahren wie Kapazität, Leistung und Sicherheit (siehe 8.6 und 8.16); 
l) Wartungsanweisungen.
Die dokumentierten Betriebsverfahren sollten überprüft und bei Bedarf aktualisiert werden. Änderungen an dokumentierten Betriebsverfahren sollten genehmigt werden. Soweit technisch machbar, sollten Informationssysteme einheitlich verwaltet werden, indem dieselben Verfahren, Werkzeuge und Hilfsmittel verwendet werden.</t>
  </si>
  <si>
    <t>Das gesamte Personal, einschließlich der Vollzeit-, Teilzeit- und Zeitarbeitskräfte, sollte einem Screening-Prozess unterzogen werden. Wenn diese Personen über Dienstleistungsanbieter unter Vertrag genommen werden, sollten die Anforderungen an die Überprüfung in die vertraglichen Vereinbarungen zwischen der Organisation und den Anbietern aufgenommen werden.
Informationen über alle Bewerber, die für eine Stelle innerhalb der Organisation in Frage kommen, sollten unter Berücksichtigung der in der jeweiligen Rechtsordnung geltenden Gesetze gesammelt und verarbeitet werden. In einigen Ländern kann die Organisation gesetzlich verpflichtet sein, die Bewerber vorab über die Überprüfung zu informieren.
Die Überprüfung sollte alle einschlägigen Rechtsvorschriften zum Schutz der Privatsphäre, zum Schutz personenbezogener Daten und zur Beschäftigung berücksichtigen und, soweit zulässig, Folgendes umfassen: 
a) Vorliegen zufriedenstellender Referenzen (z. B. geschäftliche und persönliche Referenzen); 
b) Überprüfung (auf Vollständigkeit und Richtigkeit) des Lebenslaufs des Bewerbers; 
c) Bestätigung der behaupteten akademischen und beruflichen Qualifikationen; 
d) unabhängige Identitätsüberprüfung (z. B. Reisepass oder ein anderes akzeptables Dokument, das von den zuständigen Behörden ausgestellt wurde); 
e) detailliertere Überprüfung, z. B. Bonitätsprüfung oder Überprüfung des Strafregisters, wenn der Bewerber eine kritische Rolle übernimmt.
Wenn eine Person für eine bestimmte Informationssicherheitsfunktion eingestellt wird, sollte die Organisation sicherstellen, dass der Kandidat: 
a) über die notwendige Kompetenz verfügt, um die Sicherheitsfunktion auszuführen; 
b) das Vertrauen haben kann, die Funktion zu übernehmen, insbesondere wenn die Funktion für die Organisation kritisch ist.
Wenn eine Stelle, entweder bei der ersten Ernennung oder bei einer Beförderung, der Person Zugang zu Informationsverarbeitungseinrichtungen gewährt, und insbesondere, wenn diese den Umgang mit vertraulichen Informationen (z.B. Finanzdaten, persönliche Daten oder Informationen aus dem Gesundheitswesen) beinhalten, sollte die Organisation auch weitere, detailliertere Überprüfungen in Betracht ziehen. 
In den Verfahren sollten Kriterien und Grenzen für Überprüfungen festgelegt werden (z. B. wer zur Überprüfung von Personen berechtigt ist und wie, wann und warum Überprüfungen durchgeführt werden).
In Situationen, in denen die Verifizierung nicht rechtzeitig abgeschlossen werden kann, sollten abmildernde Maßnahmen ergriffen werden, bis die Überprüfung abgeschlossen ist, z. B.: 
a) verzögerte Einweisung; 
b) verzögerte Bereitstellung von Unternehmensressourcen; 
c) Einweisung mit eingeschränktem Zugang; 
d) Beendigung des Beschäftigungsverhältnisses.
Die Überprüfungen sollten in regelmäßigen Abständen wiederholt werden, um die fortwährende Eignung des Personals zu bestätigen, je nachdem, wie kritisch die Rolle der betreffenden Person ist.</t>
  </si>
  <si>
    <t>Die vertraglichen Verpflichtungen für das Personal sollten die Informationssicherheitspolitik der Organisation und relevante themenspezifische Richtlinien berücksichtigen. Darüber hinaus können die folgenden Punkte geklärt und festgelegt werden
a) Vertraulichkeits- oder Geheimhaltungsvereinbarungen, die Mitarbeiter, die Zugang zu vertraulichen Informationen erhalten, unterzeichnen sollten, bevor sie Zugang zu Informationen und anderen damit verbundenen Vermögenswerten erhalten (siehe 6.6); 
b) rechtliche Verantwortlichkeiten und Rechte [z. B. in Bezug auf Urheberrechtsgesetze oder Datenschutzgesetze (siehe5
.32 und 5.34)]; 
c) Zuständigkeiten für die Klassifizierung von Informationen und die Verwaltung der Informationen der Organisation und anderer zugehöriger Vermögenswerte, der Informationsverarbeitungseinrichtungen und der Informationsdienste, mit denen das Personal arbeitet (siehe 5.9 bis 5.13); 
d) Zuständigkeiten für den Umgang mit Informationen, die von interessierten Parteien eingehen; 
e) Maßnahmen, die zu ergreifen sind, wenn das Personal die Sicherheitsanforderungen der Organisation missachtet (siehe 6.4).
Die Aufgaben und Zuständigkeiten im Bereich der Informationssicherheit sollen den Bewerbern im Rahmen des Einstellungsverfahrens mitgeteilt werden.
Die Organisation soll sicherstellen, dass das Personal den Bedingungen für die Informationssicherheit zustimmt. Diese Bedingungen sollten der Art und dem Umfang des Zugangs zu den Vermögenswerten der Organisation im Zusammenhang mit den Informationssystemen und -diensten angemessen sein. Die Bedingungen für die Informationssicherheit sollten überprüft werden, wenn sich Gesetze, Vorschriften, die Informationssicherheitspolitik oder themenspezifische Richtlinien ändern.
Gegebenenfalls sollten die in den Beschäftigungsbedingungen enthaltenen Verantwortlichkeiten für einen bestimmten Zeitraum nach Beendigung des Beschäftigungsverhältnisses fortbestehen (siehe 6.5).</t>
  </si>
  <si>
    <t>Allgemein
Ein Programm zur Sensibilisierung, Ausbildung und Schulung im Bereich der Informationssicherheit sollte in Übereinstimmung mit der Informationssicherheitspolitik der Organisation, den themenspezifischen Richtlinien und den einschlägigen Verfahren zur Informationssicherheit erstellt werden, wobei die zu schützenden Informationen der Organisation und die zum Schutz der Informationen eingeführten Informationssicherheitskontrollen zu berücksichtigen sind. 
Sensibilisierung, Schulung und Ausbildung im Bereich der Informationssicherheit sollten in regelmäßigen Abständen durchgeführt werden. Die erste Sensibilisierung, Ausbildung und Schulung kann für neue Mitarbeiter und für Mitarbeiter, die in neue Positionen oder Rollen mit wesentlich anderen Anforderungen an die Informationssicherheit wechseln, durchgeführt werden. Das Verständnis des Personals sollte am Ende einer Sensibilisierungs-, Ausbildungs- oder Schulungsmaßnahme bewertet werden, um den Wissenstransfer und die Wirksamkeit des Sensibilisierungs-, Ausbildungs- und Schulungsprogramms zu überprüfen.
Sensibilisierung
Ein Programm zur Sensibilisierung für die Informationssicherheit sollte darauf abzielen, den Mitarbeitern ihre Verantwortung für die Informationssicherheit und die Mittel, mit denen diese Verantwortung wahrgenommen wird, bewusst zu machen. 
Das Awareness-Programm sollte unter Berücksichtigung der Rollen des Personals in der Organisation, einschließlich des internen und externen Personals (z.B. externe Berater, Lieferantenpersonal), geplant werden. Die Aktivitäten im Rahmen des Sensibilisierungsprogramms sollten im Laufe der Zeit geplant werden, vorzugsweise regelmäßig, so dass die Aktivitäten wiederholt werden und neue Mitarbeiter einbeziehen. Das Programm sollte auch auf den Erkenntnissen aus Vorfällen im Bereich der Informationssicherheit aufbauen.
Das Sensibilisierungsprogramm sollte eine Reihe von Sensibilisierungsmaßnahmen über geeignete physische oder virtuelle Kanäle wie Kampagnen, Broschüren, Poster, Newsletter, Websites, Informationssitzungen, Briefings, E-Learning-Module und E-Mails umfassen.
Das Bewusstsein für die Informationssicherheit sollte allgemeine Aspekte abdecken, wie z. B.: 
a) die Verpflichtung des Managements zur Informationssicherheit in der gesamten Organisation; 
b) die Vertrautheit mit und die Notwendigkeit der Einhaltung von geltenden Informationssicherheitsregeln und -verpflichtungen unter Berücksichtigung der Informationssicherheitspolitik und themenspezifischer Richtlinien, Standards, Gesetze, Statuten, Vorschriften, Verträge und Vereinbarungen; 
c) die persönliche Verantwortung für die eigenen Handlungen und Unterlassungen sowie die allgemeine Verantwortung für die Sicherung und den Schutz von Informationen, die der Organisation und interessierten Parteien gehören; 
d) grundlegende Informationssicherheitsverfahren [z. B.d) grundlegende Verfahren der Informationssicherheit [z. 
B. Meldung von Informationssicherheitsereignissen (6.8)] und Basiskontrollen [z. B. Passwortsicherheit (5.17)]; 
e) Kontaktstellen und Ressourcen für zusätzliche Informationen und Beratung zu Fragen der Informationssicherheit, einschließlich weiterer Materialien zur Sensibilisierung für Informationssicherheit.
Ausbildung und Schulung
Die Organisation soll einen geeigneten Schulungsplan für technische Teams, deren Aufgaben spezifische Fähigkeiten und Fachkenntnisse erfordern, ermitteln, ausarbeiten und umsetzen. Die technischen Teams sollten über die Fähigkeiten verfügen, das erforderliche Sicherheitsniveau für Geräte, Systeme, Anwendungen und Dienste zu konfigurieren und aufrechtzuerhalten. Fehlen diese Fähigkeiten, sollte die Organisation Maßnahmen ergreifen und sie erwerben.
Für das Aus- und Weiterbildungsprogramm sollten verschiedene Formen in Betracht gezogen werden [z. B. Vorlesungen oder Selbststudium, Betreuung durch Fachpersonal oder Berater (Ausbildung am Arbeitsplatz), Rotation der Mitarbeiter für verschiedene Tätigkeiten, Einstellung von bereits qualifiziertem Personal und Einstellung von Beratern]. Es können verschiedene Formen der Vermittlung genutzt werden, z. B. Präsenzunterricht, Fernunterricht, webbasiertes Lernen, Selbststudium und andere. Das technische Personal sollte sein Wissen auf dem neuesten Stand halten, indem es Newsletter und Zeitschriften abonniert oder an Konferenzen und Veranstaltungen teilnimmt, die der technischen und beruflichen Weiterbildung dienen.</t>
  </si>
  <si>
    <t>Das Disziplinarverfahren sollte nicht eingeleitet werden, ohne dass zuvor geprüft wurde, ob ein Verstoß gegen die Informationssicherheitspolitik vorliegt (siehe 5.28).
Das förmliche Disziplinarverfahren sollte eine abgestufte Reaktion vorsehen, die Faktoren berücksichtigt wie: 
a) die Art (wer, was, wann, wie) und die Schwere des Verstoßes und seiner Folgen; 
b) ob der Verstoß vorsätzlich (böswillig) oder unbeabsichtigt (versehentlich) erfolgte; 
c) ob es sich um einen ersten oder wiederholten Verstoß handelt; 
d) ob der Verletzer ordnungsgemäß geschult war oder nicht.
Bei der Reaktion sollten die einschlägigen rechtlichen, gesetzlichen, aufsichtsrechtlichen, vertraglichen und geschäftlichen Anforderungen sowie bei Bedarf weitere Faktoren berücksichtigt werden. Das Disziplinarverfahren sollte auch als Abschreckung dienen, um das Personal und andere interessierte Parteien davon abzuhalten, gegen die Informationssicherheitspolitik, themenspezifische Richtlinien und Verfahren für die Informationssicherheit zu verstoßen. Vorsätzliche Verstöße gegen die Informationssicherheitspolitik können sofortige Maßnahmen erfordern.</t>
  </si>
  <si>
    <t>Das Verfahren zur Regelung der Beendigung oder des Wechsels des Beschäftigungsverhältnisses sollte festlegen, welche Verantwortlichkeiten und Pflichten im Bereich der Informationssicherheit nach der Beendigung oder dem Wechsel bestehen bleiben. Dies kann die Vertraulichkeit von Informationen, geistigem Eigentum und sonstigem erworbenen Wissen sowie die in anderen Vertraulichkeitsvereinbarungen enthaltenen Pflichten umfassen (siehe 6.6). Zuständigkeiten und Pflichten, die nach Beendigung des Arbeitsverhältnisses oder des Vertrages weiter gelten, sollten in den Beschäftigungsbedingungen (siehe 6.2), dem Vertrag oder der Vereinbarung der betreffenden Person enthalten sein. Andere Verträge oder Vereinbarungen, die für einen bestimmten Zeitraum nach Beendigung des Arbeitsverhältnisses weiterlaufen, können ebenfalls Verantwortlichkeiten für die Informationssicherheit enthalten.
Der Wechsel der Zuständigkeit oder des Beschäftigungsverhältnisses sollte als Beendigung der derzeitigen Zuständigkeit oder des Beschäftigungsverhältnisses in Verbindung mit dem Beginn der neuen Zuständigkeit oder des neuen Beschäftigungsverhältnisses gehandhabt werden.
Die Aufgaben und Zuständigkeiten im Bereich der Informationssicherheit, die eine Person innehat, die ihren Arbeitsplatz verlässt oder wechselt, sollten ermittelt und auf eine andere Person übertragen werden.
Es sollte ein Verfahren für die Mitteilung der Änderungen und der Betriebsverfahren an das Personal, andere interessierte Parteien und relevante Kontaktpersonen (z. B. Kunden und Lieferanten) festgelegt werden.
Das Verfahren für die Beendigung oder den Wechsel des Beschäftigungsverhältnisses sollte auch auf externes Personal (z. B. Lieferanten) angewandt werden, wenn das Personal, der Vertrag oder der Arbeitsplatz mit der Organisation beendet wird oder wenn es zu einer Änderung des Arbeitsplatzes innerhalb der Organisation kommt.</t>
  </si>
  <si>
    <t>Vertraulichkeits- oder Geheimhaltungsvereinbarungen sollten dem Erfordernis des Schutzes vertraulicher Informationen durch rechtlich durchsetzbare Bestimmungen Rechnung tragen. Vertraulichkeits- oder Geheimhaltungsvereinbarungen gelten für interessierte Parteien und Mitarbeiter der Organisation. Ausgehend von den Anforderungen einer Organisation an die Informationssicherheit sollten die Bedingungen in den Vereinbarungen unter Berücksichtigung der Art der zu behandelnden Informationen, ihres Geheimhaltungsgrads, ihrer Verwendung und des zulässigen Zugriffs durch die andere Partei festgelegt werden. Um die Anforderungen an Vertraulichkeits- oder Geheimhaltungsvereinbarungen zu ermitteln, sollten die folgenden Elemente berücksichtigt werden:
a) eine Definition der zu schützenden Informationen (z. B. vertrauliche Informationen); 
b) die voraussichtliche Dauer einer Vereinbarung, einschließlich der Fälle, in denen es notwendig sein kann, die Vertraulichkeit auf unbestimmte Zeit oder bis zur öffentlichen Verfügbarkeit der Informationen aufrechtzuerhalten; 
c) die erforderlichen Maßnahmen bei Beendigung einer Vereinbarung; 
d) die Verantwortlichkeiten und Maßnahmen der Unterzeichner zur Vermeidung einer unbefugten Offenlegung von Informationen; 
e) das Eigentum an Informationen, Geschäftsgeheimnissen und geistigem Eigentum und wie dies mit dem Schutz vertraulicher Informationen zusammenhängt; 
f) die zulässige Verwendung vertraulicher Informationen und die Rechte des Unterzeichners, die Informationen zu verwenden; 
g) das Recht auf Prüfung und Überwachung von Aktivitäten, die vertrauliche Informationen betreffen, in hochsensiblen Fällen; 
h) das Verfahren für die Benachrichtigung und Meldung einer unbefugten Offenlegung oder eines Durchsickerns vertraulicher Informationen;
i) die Bedingungen für die Rückgabe oder Vernichtung von Informationen bei Beendigung der Vereinbarung; 
j) die zu erwartenden Maßnahmen im Falle der Nichteinhaltung der Vereinbarung.
Die Organisation sollte die Einhaltung von Vertraulichkeits- und Geheimhaltungsvereinbarungen in dem Land, für das sie gelten, berücksichtigen (siehe 5.31, 5.32, 5.33,5.34 ).
Die Anforderungen an Vertraulichkeits- und Geheimhaltungsvereinbarungen sollten in regelmäßigen Abständen und bei Änderungen, die diese Anforderungen beeinflussen, überprüft werden.</t>
  </si>
  <si>
    <t>Fernarbeit liegt immer dann vor, wenn Mitarbeiter des Unternehmens von einem Ort außerhalb des Unternehmensgeländes aus arbeiten und dabei auf Informationen in Papierform oder elektronisch über IKT-Geräte zugreifen. Zu den Fernarbeitsumgebungen gehören die so genannten "Telearbeit", "Telearbeit", "flexibler Arbeitsplatz", "virtuelle Arbeitsumgebungen" und "Fernwartung".
HINWEIS Es ist möglich, dass nicht alle Empfehlungen in diesem Leitfaden aufgrund lokaler Gesetze und Vorschriften in verschiedenen Rechtsordnungen angewendet werden können.
Organisationen, die Fernarbeitstätigkeiten zulassen, sollten eine themenspezifische Richtlinie zur Fernarbeit herausgeben, in der die entsprechenden Bedingungen und Einschränkungen festgelegt sind. Dabei sollten die folgenden Punkte berücksichtigt werden:
a) die bestehende oder vorgeschlagene physische Sicherheit des Standorts der Fernarbeit unter Berücksichtigung der physischen Sicherheit des Standorts und des lokalen Umfelds, einschließlich der verschiedenen Rechtssysteme, in denen sich das Personal befindet; 
b) Regeln und Sicherheitsmechanismen für das physische Umfeld der Fernarbeit, wie z. B. abschließbare Aktenschränke, sicherer Transport zwischen den Standorten und Regeln für den Fernzugriff, klarer Schreibtisch, Druck und Entsorgung von Informationen und anderen zugehörigen Vermögenswerten sowie Meldung von Informationssicherheitsvorfällen (siehe 6.8); 
c) die erwarteten physischen Fernarbeitsumgebungen; 
d) die Anforderungen an die Kommunikationssicherheit unter Berücksichtigung der Notwendigkeit des Fernzugriffs auf die Systeme der Organisation, der Sensibilität der Informationen, auf die zugegriffen werden soll und die über die Kommunikationsverbindung weitergegeben werden sollen, und der Sensibilität der Systeme und Anwendungen; 
e) die Nutzung des Fernzugriffs, wie z. B. der Zugriff auf virtuelle Desktops, der die Verarbeitung und Speicherung von Informationen auf Geräten in Privatbesitz unterstützt; 
f) die Gefahr des unbefugten Zugriffs auf Informationen oder Ressourcen durch andere Personen am entfernten Arbeitsort (z. B. Familienangehörige und Freunde); g) die Möglichkeit des Zugriffs auf Informationen oder Ressourcen durch andere Personen am entfernten Arbeitsort.
g) die Gefahr des unbefugten Zugriffs auf Informationen oder Ressourcen durch andere Personen an öffentlichen Orten; 
h) die Nutzung von Heimnetzwerken und öffentlichen Netzwerken sowie Anforderungen oder Beschränkungen für die Konfiguration von drahtlosen Netzwerkdiensten;
i) Einsatz von Sicherheitsmaßnahmen wie Firewalls und Schutz vor Schadsoftware; 
j) sichere Mechanismen für die Ferninstallation und -initialisierung von Systemen; 
k) sichere Mechanismen für die Authentifizierung und die Aktivierung von Zugriffsrechten unter Berücksichtigung der Anfälligkeit von Ein-Faktor-Authentifizierungsmechanismen, wenn der Fernzugriff auf das Netzwerk der Organisation erlaubt ist.
Zu den zu berücksichtigenden Richtlinien und Maßnahmen sollten gehören: 
a) die Bereitstellung geeigneter Geräte und Aufbewahrungsmöglichkeiten für die Fernarbeit, wobei die Verwendung privater Geräte, die nicht unter der Kontrolle der Organisation stehen, nicht zulässig ist; 
b) eine Definition der zulässigen Arbeiten, der Klassifizierung der Informationen, die aufbewahrt werden dürfen, und der internen Systeme und Dienste, auf die der Fernarbeiter zugreifen darf; 
c) die Bereitstellung von Schulungen für die Fernarbeiter und die sie unterstützenden Personen. Dazu sollte auch gehören, wie man bei der Fernarbeit sicher vorgeht; 
d) die Bereitstellung geeigneter Kommunikationsgeräte, einschließlich Methoden zur Sicherung des Fernzugriffs, wie Anforderungen an Bildschirmsperren und Inaktivitäts-Timer; die Ermöglichung der Standortverfolgung von Geräten; die Installation von Fernlöschfunktionen; 
e) die physische Sicherheit; 
f) Regeln und Leitlinien für den Zugang von Familienangehörigen und Besuchern zu Geräten und Informationen; 
g) die Bereitstellung von Hardware- und Software-Support und -Wartung; 
h) die Bereitstellung von Versicherungen;
i) Verfahren für die Datensicherung und die Geschäftskontinuität; 
j) Audit und Sicherheitsüberwachung; 
k) Widerruf von Befugnissen und Zugangsrechten und Rückgabe der Geräte bei Beendigung der Fernarbeit.</t>
  </si>
  <si>
    <t>Das gesamte Personal und alle Benutzer sollten sich ihrer Verantwortung bewusst sein, Ereignisse im Bereich der Informationssicherheit so schnell wie möglich zu melden, um die Auswirkungen von Vorfällen im Bereich der Informationssicherheit zu verhindern oder zu minimieren.
Sie sollten auch das Verfahren zur Meldung von Informationssicherheitsvorfällen und die Kontaktstelle kennen, an die die Vorfälle gemeldet werden sollten. Das Meldeverfahren sollte so einfach, zugänglich und verfügbar wie möglich sein. Zu den Ereignissen im Bereich der Informationssicherheit gehören Vorfälle, Verstöße und Schwachstellen.
Zu den Situationen, die bei der Meldung von Informationssicherheitsereignissen zu berücksichtigen sind, gehören: 
a) unwirksame Informationssicherheitskontrollen; 
b) Verletzung der Erwartungen an die Vertraulichkeit, Integrität oder Verfügbarkeit von Informationen; 
c) menschliches Versagen; 
d) Nichteinhaltung der Informationssicherheitspolitik, themenspezifischer Richtlinien oder geltender Normen; 
e) Verletzung physischer Sicherheitsmaßnahmen; 
f) Systemänderungen, die nicht den Änderungsmanagementprozess durchlaufen haben; 
g) Fehlfunktionen oder sonstiges anomales Systemverhalten von Software oder Hardware; 
h) Zugriffsverletzungen;
i) Sicherheitslücken; 
j) Verdacht auf Malware-Infektion.
Dem Personal und den Benutzern sollte geraten werden, nicht zu versuchen, vermutete Schwachstellen in der Informationssicherheit nachzuweisen. Das Testen von Schwachstellen kann als potenzieller Missbrauch des Systems interpretiert werden und kann auch Schäden am Informationssystem oder -dienst verursachen sowie digitale Beweise beschädigen oder unkenntlich machen. Letztendlich kann dies zu einer rechtlichen Haftung für die Person führen, die die Tests durchführt.</t>
  </si>
  <si>
    <t>Die folgenden Leitlinien sollten in Betracht gezogen und gegebenenfalls für physische Sicherheitsabgrenzungen umgesetzt werden:
a) Festlegung von Sicherheitsabgrenzungen sowie der Lage und Stärke der einzelnen Abgrenzungen in Übereinstimmung mit den Anforderungen an die Informationssicherheit, die sich auf die Werte innerhalb der Abgrenzung beziehen; 
b) Vorhandensein physisch solider Abgrenzungen für ein Gebäude oder ein Gelände, das Einrichtungen zur Informationsverarbeitung enthält (d.h. es sollten keine Lücken in der Abgrenzung oder Bereiche vorhanden sein, in die leicht eingebrochen werden kann). Die Außendächer, Wände, Decken und Fußböden des Geländes sollten solide gebaut sein, und alle Außentüren sollten in geeigneter Weise durch Kontrollmechanismen (z. B. Gitter, Alarme, Schlösser) gegen unbefugten Zutritt geschützt sein. Türen und Fenster sollten verschlossen werden, wenn sie unbeaufsichtigt sind, und es sollte ein Außenschutz für Fenster, insbesondere im Erdgeschoss, in Betracht gezogen werden; Lüftungspunkte sollten ebenfalls in Betracht gezogen werden; 
c) Alarmierung, Überwachung und Prüfung aller Brandschutztüren in einem Sicherheitsperimeter in Verbindung mit den Wänden, um den erforderlichen Widerstandsgrad gemäß geeigneter Normen zu ermitteln. Sie sollten ausfallsicher funktionieren.</t>
  </si>
  <si>
    <t>Allgemein
Zugangspunkte wie Liefer- und Ladezonen und andere Punkte, an denen Unbefugte das Gelände betreten können, sollten kontrolliert und, wenn möglich, von den Informationsverarbeitungseinrichtungen getrennt werden, um unbefugten Zugang zu vermeiden.
Die folgenden Richtlinien sollten berücksichtigt werden:
a) Beschränkung des Zugangs zu Standorten und Gebäuden auf befugtes Personal. Das Verfahren für die Verwaltung der Zugangsrechte zu physischen Bereichen sollte die Bereitstellung, die regelmäßige Überprüfung, die Aktualisierung und den Entzug von Berechtigungen umfassen (siehe 5.18); 
b) sichere Führung und Überwachung eines physischen Logbuchs oder eines elektronischen Prüfpfads aller Zugriffe und Schutz aller Protokolle (siehe 5.33) und sensibler Authentifizierungsinformationen; 
c) Einführung und Umsetzung eines Verfahrens und technischer Mechanismen für die Verwaltung des Zugangs zu Bereichen, in denen Informationen verarbeitet oder gespeichert werden. Zu den Authentifizierungsmechanismen gehören die Verwendung von Zugangskarten, biometrische Verfahren oder eine Zwei-Faktoren-Authentifizierung, z. B. eine Zugangskarte und eine geheime PIN. Für den Zugang zu sensiblen Bereichen sollten doppelte Sicherheitstüren in Erwägung gezogen werden; 
d) Einrichtung eines personell überwachten Empfangsbereichs oder anderer Mittel zur Kontrolle des physischen Zugangs zum Gelände oder Gebäude; 
e) Kontrolle und Überprüfung der persönlichen Gegenstände des Personals und der interessierten Parteien beim Betreten und Verlassen; 
HINWEIS Lokale Gesetze und Vorschriften können die Möglichkeit der Kontrolle von persönlichen Gegenständen regeln
.
f) Verpflichtung aller Mitarbeiter und Interessenten, eine Form der sichtbaren Identifikation zu tragen und das Sicherheitspersonal sofort zu benachrichtigen, wenn sie unbegleitete Besucher oder Personen antreffen, die keine sichtbare Identifikation tragen. Zur besseren Identifizierung von Festangestellten, Zulieferern und Besuchern sollten leicht erkennbare Ausweise in Erwägung gezogen werden; 
g) dem Personal von Zulieferern sollte nur bei Bedarf beschränkter Zugang zu Sicherheitsbereichen oder Informationsverarbeitungseinrichtungen gewährt werden. Dieser Zugang sollte genehmigt und überwacht werden; 
h) besondere Beachtung der physischen Zugangssicherheit im Falle von Gebäuden, in denen sich Vermögenswerte für mehrere Organisationen befinden;
i) Gestaltung der physischen Sicherheitsmaßnahmen so, dass sie verstärkt werden können, wenn die Wahrscheinlichkeit physischer Zwischenfälle zunimmt; 
j) Sicherung anderer Zugangspunkte wie Notausgänge vor unbefugtem Zutritt; 
k) Einrichtung eines Schlüsselverwaltungsprozesses, um die Verwaltung der physischen Schlüssel oder Authentifizierungsinformationen (z. B. Schlosscodes, Zahlenschlösser für Büros, Räume und Einrichtungen wie Schlüsselschränke) zu gewährleisten und um ein Logbuch oder eine jährliche Schlüsselprüfung sicherzustellen und um zu gewährleisten, dass der Zugang zu physischen Schlüsseln oder Authentifizierungsinformationen kontrolliert wird (siehe 5.17 für weitere Hinweise zu Authentifizierungsinformationen).
Besucher
Die folgenden Richtlinien sollten berücksichtigt werden:
a) Authentifizierung der Identität von Besuchern durch ein geeignetes Mittel; 
b) Aufzeichnung des Datums und der Uhrzeit des Betretens und Verlassens von Besuchern; 
c) Gewährung des Zugangs für Besucher nur für bestimmte, genehmigte Zwecke und mit Anweisungen zu den Sicherheitsanforderungen des Bereichs und zu Notfallverfahren; 
d) Beaufsichtigung aller Besucher, sofern keine ausdrückliche Ausnahme gewährt wird. Anlieferungs- und Ladebereiche und eingehendes Material
Folgende Richtlinien sollten berücksichtigt werden: 
a) Beschränkung des Zugangs zu Anlieferungs- und Verladebereichen von außerhalb des Gebäudes auf bestimmtes und befugtes Personal; 
b) Gestaltung der Anlieferungs- und Verladebereiche so, dass Lieferungen be- und entladen werden können, ohne dass das Anlieferungspersonal unbefugten Zugang zu anderen Gebäudeteilen erhält; 
c) Sicherung der Außentüren von Anlieferungs- und Verladebereichen, wenn Türen zu Sperrbereichen geöffnet werden; 
d) Inspektion und Untersuchung eingehender Lieferungen auf Sprengstoffe, Chemikalien oder andere gefährliche Stoffe, bevor sie aus den Anlieferungs- und Verladebereichen verbracht werden; 
e) Registrierung eingehender Lieferungen in Übereinstimmung mit den Verfahren zur Vermögensverwaltung (siehe 5.9 und 7.10) beim Betreten des Geländes; 
f) physische Trennung von ein- und ausgehenden Sendungen, soweit möglich; 
g) Überprüfung der eingehenden Lieferungen auf Anzeichen von Manipulationen unterwegs. Werden Manipulationen festgestellt, so sind sie unverzüglich dem Sicherheitspersonal zu melden.</t>
  </si>
  <si>
    <t>Zur Sicherung von Büros, Räumen und Einrichtungen sollten die folgenden Leitlinien berücksichtigt werden:
a) Standort kritischer Einrichtungen, um den Zugang der Öffentlichkeit zu vermeiden; 
b) gegebenenfalls Sicherstellung, dass die Gebäude unauffällig sind und ein Minimum an Hinweisen auf ihren Zweck geben, ohne offensichtliche Schilder außerhalb oder innerhalb des Gebäudes, die auf das Vorhandensein von Informationsverarbeitungstätigkeiten hinweisen; 
c) Gestaltung der Einrichtungen, um zu verhindern, dass vertrauliche Informationen oder Tätigkeiten von außen sichtbar und hörbar sind. Gegebenenfalls sollte auch eine elektromagnetische Abschirmung in Erwägung gezogen werden; 
d) Verzeichnisse, interne Telefonbücher und online zugängliche Karten, auf denen die Standorte vertraulicher Informationsverarbeitungseinrichtungen verzeichnet sind, sollten für Unbefugte nicht ohne weiteres zugänglich sein.</t>
  </si>
  <si>
    <t>Physische Räumlichkeiten sollten durch Überwachungssysteme überwacht werden, zu denen Wachpersonal, Einbruchalarm, Videoüberwachungssysteme wie Videoüberwachung und Software für das Informationsmanagement im Bereich der physischen Sicherheit gehören können, die entweder intern oder von einem Überwachungsdienstleister verwaltet werden.
Der Zugang zu Gebäuden, in denen kritische Systeme untergebracht sind, sollte kontinuierlich überwacht werden, um unbefugten Zugang oder verdächtiges Verhalten zu erkennen, und zwar durch:
a) Installation von Videoüberwachungssystemen, wie z. B. Videoüberwachungsanlagen, die den Zugang zu sensiblen Bereichen innerhalb und außerhalb des Geländes einer Organisation anzeigen und aufzeichnen; 
b) Installation von Kontakt-, Schall- oder Bewegungsmeldern, die einen Einbruchalarm auslösen, gemäß den einschlägigen geltenden Normen und deren regelmäßige Prüfung, wie z. B:
1) Installation von Kontaktmeldern, die einen Alarm auslösen, wenn ein Kontakt hergestellt oder unterbrochen wird, und zwar überall dort, wo ein Kontakt hergestellt oder unterbrochen werden kann (z. B. an Fenstern und Türen und unter Gegenständen), um als Panikalarm verwendet zu werden; 
2) Bewegungsmelder auf der Grundlage von Infrarottechnologie, die einen Alarm auslösen, wenn ein Gegenstand ihr Sichtfeld durchquert; 
3) Installation von Sensoren, die auf das Geräusch von zerbrechendem Glas reagieren und mit denen ein Alarm ausgelöst werden kann, um das Sicherheitspersonal zu alarmieren; 
c) Verwendung dieser Alarme für alle Außentüren und zugänglichen Fenster. Unbesetzte Bereiche sollten stets alarmgesichert sein; auch andere Bereiche (z.B. Computer- oder Kommunikationsräume) sollten abgedeckt werden.
Die Konzeption von Überwachungssystemen sollte vertraulich behandelt werden, da eine Offenlegung unentdeckte Einbrüche erleichtern kann.
Die Überwachungssysteme sollten vor unbefugtem Zugriff geschützt werden, um zu verhindern, dass Unbefugte auf Überwachungsdaten, wie z. B. Videobilder, zugreifen oder Systeme aus der Ferne deaktiviert werden.
Die Zentrale des Alarmsystems sollte sich in einem alarmgesicherten Bereich und bei Sicherheitsalarmen an einem Ort befinden, der der Person, die den Alarm auslöst, einen einfachen Fluchtweg ermöglicht. Das Bedienfeld und die Melder sollten über manipulationssichere Mechanismen verfügen. Das System sollte regelmäßig getestet werden, um sicherzustellen, dass es wie vorgesehen funktioniert, insbesondere wenn seine Komponenten batteriebetrieben sind.
Alle Überwachungs- und Aufzeichnungsmechanismen sollten unter Berücksichtigung der örtlichen Gesetze und Vorschriften, einschließlich der Gesetze zum Datenschutz und zum Schutz personenbezogener Daten, eingesetzt werden, insbesondere im Hinblick auf die Überwachung des Personals und die Aufbewahrungsfristen für Videoaufzeichnungen.</t>
  </si>
  <si>
    <t>Risikobewertungen zur Ermittlung der potenziellen Folgen physischer und umweltbedingter Bedrohungen sollten vor der Aufnahme kritischer Operationen an einem physischen Standort und in regelmäßigen Abständen durchgeführt werden. Erforderliche Schutzmaßnahmen sind zu ergreifen, und Veränderungen der Bedrohungen sind zu überwachen. Es sollte fachlicher Rat eingeholt werden, wie mit Risiken umzugehen ist, die sich aus physischen und ökologischen Bedrohungen wie Feuer, Überschwemmung, Erdbeben, Explosionen, Unruhen, Giftmüll, Umweltemissionen und anderen Formen von Naturkatastrophen oder von Menschen verursachten Katastrophen ergeben.
Bei der Wahl des Standorts und der Konstruktion des Gebäudes sollten folgende Faktoren berücksichtigt werden: 
a) die örtliche Topografie, z. B. geeignete Höhenlage, Gewässer und tektonische Verwerfungen; 
b) städtische Bedrohungen, z. B. Standorte, die für politische Unruhen, kriminelle Aktivitäten oder Terroranschläge besonders anfällig sind.
Auf der Grundlage der Ergebnisse der Risikobewertung sollten relevante physische und umweltbedingte Bedrohungen identifiziert und geeignete Kontrollmaßnahmen erwogen werden, z. B. in folgenden Bereichen:
a) Feuer: Installation und Konfiguration von Systemen, die in der Lage sind, Brände in einem frühen Stadium zu erkennen, um Alarme zu senden oder Brandbekämpfungssysteme auszulösen, um Brandschäden an Speichermedien und damit verbundenen Informationsverarbeitungssystemen zu verhindern. Die 
Brandbekämpfung sollte mit dem im Hinblick auf die Umgebung am besten geeigneten Mittel erfolgen (z. B. Gas in geschlossenen Räumen); 
b) Überschwemmung: Installation von Systemen zur frühzeitigen Erkennung von Überschwemmungen unter den Böden von Bereichen, die Speichermedien oder Informationsverarbeitungssysteme enthalten. Für den Fall einer Überschwemmung sollten Wasserpumpen oder gleichwertige Mittel zur Verfügung stehen; 
c) Überspannungen: Einsatz von Systemen, die sowohl Server- als auch Client-Informationssysteme vor Überspannungen oder ähnlichen Ereignissen schützen können, um die Folgen solcher Ereignisse zu minimieren; 
d) Sprengstoffe und Waffen: Durchführung von Stichprobenkontrollen auf das Vorhandensein von Sprengstoffen oder Waffen bei Personal, Fahrzeugen oder Gütern, die in sensible Informationsverarbeitungseinrichtungen gelangen.</t>
  </si>
  <si>
    <t>Die Sicherheitsmaßnahmen für die Arbeit in Sicherheitsbereichen sollten für das gesamte Personal gelten und alle Tätigkeiten abdecken, die in dem Sicherheitsbereich stattfinden.
Die folgenden Richtlinien sollten berücksichtigt werden:
a) Information des Personals über das Vorhandensein oder die Aktivitäten in einem Sicherheitsbereich nur auf der Grundlage des Wissensbedarfs; 
b) Vermeidung unbeaufsichtigter Arbeit in Sicherheitsbereichen sowohl aus Sicherheitsgründen als auch zur Verringerung der Gefahr böswilliger Aktivitäten; 
c) physische Verriegelung und regelmäßige Inspektion freier Sicherheitsbereiche; 
d) Verbot von Foto-, Video-, Audio- oder anderen Aufzeichnungsgeräten, wie z. B. Kameras in Benutzerendgeräten, sofern diese nicht zugelassen sind; 
e) angemessene Kontrolle des Mitführens und der Verwendung von Benutzerendgeräten in Sicherheitsbereichen; f) Aushang von Notfallverfahren an gut sichtbarer oder zugänglicher Stelle.</t>
  </si>
  <si>
    <t>Die Organisation sollte eine themenspezifische Richtlinie zu "clear desk" und "clear screen" aufstellen und allen relevanten interessierten Parteien mitteilen.
Folgende Richtlinien sollten in Betracht gezogen werden:
a) Wegschließen sensibler oder kritischer Geschäftsinformationen (z. B. auf Papier oder elektronischen Speichermedien) (idealerweise in einem Safe, Schrank oder einer anderen Form von Sicherheitseinrichtung), wenn sie nicht benötigt werden, insbesondere wenn das Büro verlassen wird; 
b) Schutz der Benutzerendgeräte durch Schlüsselsperren oder andere Sicherheitsmittel, wenn sie nicht benutzt werden oder unbeaufsichtigt sind; 
c) Abmelden der Benutzerendgeräte oder Schutz durch einen Bildschirm- und Tastatursperrmechanismus, der durch einen Benutzerauthentifizierungsmechanismus gesteuert wird, wenn sie unbeaufsichtigt sind. Alle Computer und Systeme sollten mit einer Zeitabschaltung oder einer automatischen Abmeldefunktion konfiguriert sein; 
d) der Absender muss die Ausgaben von Druckern oder Multifunktionsgeräten unverzüglich abholen. Die Verwendung von Druckern mit einer Authentifizierungsfunktion, so dass nur die Urheber ihre Ausdrucke abholen können und auch nur dann, wenn sie in der Nähe des Druckers stehen; 
e) sichere Aufbewahrung von Dokumenten und Wechseldatenträgern mit sensiblen Informationen und deren Entsorgung, wenn sie nicht mehr benötigt werden, unter Verwendung sicherer Entsorgungsmechanismen; 
f) Festlegung und Bekanntgabe von Regeln und Leitlinien für die Konfiguration von Pop-ups auf Bildschirmen (z. B. Ausschalten der Funktion "Neue E-Mail" und "Neue Nachricht").
z.B. Ausschalten der neuen E-Mail- und Messaging-Pop-ups, wenn möglich, während Präsentationen, Bildschirmfreigaben oder in einem öffentlichen Bereich); 
g) Löschen von sensiblen oder kritischen Informationen auf Whiteboards und anderen Arten von Bildschirmen, wenn sie nicht mehr benötigt werden.
Die Organisation sollte über Verfahren für die Räumung von Einrichtungen verfügen, einschließlich der Durchführung einer abschließenden Durchsuchung vor dem Verlassen, um sicherzustellen, dass die Vermögenswerte der Organisation nicht zurückgelassen werden (z. B. Dokumente, die in Schubladen oder Möbeln liegen).</t>
  </si>
  <si>
    <t>Zum Schutz der Ausrüstung sollten die folgenden Richtlinien beachtet werden:
a) Aufstellen von Geräten, um unnötigen Zugang zu Arbeitsbereichen zu minimieren und unbefugten Zugang zu vermeiden; 
b) sorgfältige Positionierung von Informationsverarbeitungseinrichtungen, die sensible Daten verarbeiten, um das Risiko zu verringern, dass Informationen während ihrer Nutzung von Unbefugten eingesehen werden; 
c) Annahme von Kontrollen, um das Risiko potenzieller physischer und umweltbedingter Bedrohungen zu minimieren [z. B. 
Diebstahl, Feuer, Explosivstoffe, Rauch, Wasser (oder Ausfall der Wasserversorgung), Staub, Erschütterungen, chemische Einwirkungen, Störungen der Stromversorgung, Kommunikationsstörungen, elektromagnetische Strahlung und Vandalismus]; 
d) Festlegung von Richtlinien für Essen, Trinken und Rauchen in der Nähe von Informationsverarbeitungseinrichtungen; 
e) Überwachung der Umgebungsbedingungen, wie Temperatur und Luftfeuchtigkeit, auf Bedingungen, die den Betrieb von Informationsverarbeitungseinrichtungen beeinträchtigen können; 
f) Anbringung von Blitzschutzvorrichtungen an allen Gebäuden und von Blitzschutzfiltern an allen ankommenden Strom- und Kommunikationsleitungen; 
g) Erwägung des Einsatzes spezieller Schutzmethoden, wie z. B. Tastaturmembranen, für Geräte in industriellen Umgebungen; 
h) Schutz von Geräten, die vertrauliche Informationen verarbeiten, um das Risiko eines Informationsverlustes aufgrund elektromagnetischer Abstrahlung zu minimieren;
i) die physische Trennung von Einrichtungen zur Informationsverarbeitung, die von der Organisation verwaltet werden, von solchen, die nicht von der Organisation verwaltet werden.</t>
  </si>
  <si>
    <t>Jedes Gerät, das außerhalb der Räumlichkeiten der Organisation verwendet wird und Informationen speichert oder verarbeitet (z. B. ein mobiles Gerät), einschließlich der Geräte, die sich im Besitz der Organisation befinden, und der Geräte, die sich im Privatbesitz befinden und im Namen der Organisation verwendet werden [Bring your own device (BYOD)], muss geschützt werden. Die Nutzung dieser Geräte sollte von der Geschäftsleitung genehmigt werden.
Die folgenden Richtlinien sollten für den Schutz von Geräten, die Informationen außerhalb der Räumlichkeiten der Organisation speichern oder verarbeiten, berücksichtigt werden:
a) Geräte und Speichermedien, die außerhalb des Unternehmensgeländes mitgenommen werden, nicht unbeaufsichtigt an öffentlichen und ungesicherten Orten zurücklassen; 
b) die Herstelleranweisungen zum Schutz der Geräte jederzeit beachten (z. B. Schutz vor starken elektromagnetischen Feldern, Wasser, Hitze, Feuchtigkeit, Staub); 
c) bei der Weitergabe von Geräten außerhalb des Unternehmensgeländes an verschiedene Personen oder interessierte Parteien ein Protokoll führen, das die Verwahrkette für die Geräte festlegt und zumindest die Namen und Organisationen derjenigen enthält, die für die Geräte verantwortlich sind. Informationen, die nicht zusammen mit dem Gerät übertragen werden müssen, sollten vor der Übertragung sicher gelöscht werden; 
d) soweit erforderlich und praktikabel, ist eine Genehmigung für die Entfernung von Geräten und Datenträgern aus den Räumlichkeiten der Organisation erforderlich, und es werden Aufzeichnungen über solche Entfernungen geführt, um einen Prüfpfad aufrechtzuerhalten (siehe 5.14); 
e) Schutz vor der Einsichtnahme in Informationen auf einem Gerät (z. B. Mobiltelefon oder Laptop) in öffentlichen Verkehrsmitteln und vor den Risiken, die mit dem "Shoulder Surfing" (Surfen über die Schulter) verbunden sind; 
f) Einführung einer Standortverfolgung und der Möglichkeit, Geräte aus der Ferne zu löschen.
Die dauerhafte Installation von Geräten außerhalb des Firmengeländes [wie z. B. Antennen und Geldautomaten] kann mit einem höheren Risiko der Beschädigung, des Diebstahls oder des Abhörens verbunden sein. Diese Risiken können von Standort zu Standort sehr unterschiedlich sein und sollten bei der Festlegung der am besten geeigneten Maßnahmen berücksichtigt werden. Die folgenden Richtlinien sollten berücksichtigt werden, wenn diese Geräte außerhalb der Räumlichkeiten der Organisation aufgestellt werden:
a) Überwachung der physischen Sicherheit (siehe 7.4); 
b) Schutz vor physischen und umweltbedingten Bedrohungen (siehe 7.5); 
c) physische Zugangs- und Manipulationssicherungskontrollen; 
d) logische Zugangskontrollen.</t>
  </si>
  <si>
    <t>Wechselspeichermedien
Die folgenden Richtlinien für die Verwaltung von Wechselspeichermedien sollten in Betracht gezogen werden:
a) Festlegung einer themenspezifischen Richtlinie für die Verwaltung von Wechselspeichermedien und Weitergabe dieser themenspezifischen Richtlinie an alle Personen, die Wechselspeichermedien verwenden oder handhaben; 
b) soweit erforderlich und praktikabel, Erfordernis einer Genehmigung für die Entfernung von Speichermedien aus der Organisation und Aufzeichnung solcher Entfernungen, um einen Prüfpfad aufrechtzuerhalten; 
c) Aufbewahrung aller Speichermedien in einer sicheren Umgebung entsprechend ihrer Informationsklassifizierung und Schutz vor Umweltbedrohungen (wie Hitze, Feuchtigkeit, Nässe, elektronisches Feld oder Alterung) gemäß den Spezifikationen der Hersteller; 
d) wenn die Vertraulichkeit oder Integrität von Informationen eine wichtige Rolle spielt, Einsatz von Verschlüsselungstechniken zum Schutz von Informationen auf Wechselspeichermedien; 
e) zur Verringerung des Risikos, dass Speichermedien beschädigt werden, während die gespeicherten Informationen noch benötigt werden, Übertragung der Informationen auf neue Speichermedien, bevor sie unlesbar werden; 
f) Speicherung mehrerer Kopien wertvoller Informationen auf separaten Speichermedien, um das Risiko einer zufälligen Beschädigung oder eines Verlusts von Informationen weiter zu verringern; 
g) Erwägung der Registrierung von Wechselspeichermedien, um das Risiko eines Informationsverlusts zu begrenzen; 
h) ausschließliche Freigabe von Anschlüssen für Wechselspeichermedien [z.z. B. Secure Digital (SD)-Kartensteckplätze und Universal Serial Bus (USB)-Anschlüsse] nur dann zu aktivieren, wenn es einen organisatorischen Grund für ihre Verwendung gibt;
j) Informationen können während des physischen Transports, z. B. beim Versand von Speichermedien per Post oder Kurier, für unbefugten Zugriff, Missbrauch oder Beschädigung anfällig sein.
Bei dieser Kontrolle umfassen die Datenträger auch Papierdokumente. Bei der Übertragung von physischen Speichermedien sind die Sicherheitsmaßnahmen in 5.14 anzuwenden.
Sichere Wiederverwendung oder Entsorgung
Vorgehensweisen für die sichere Wiederverwendung oder Entsorgung von Speichermedien sollten festgelegt werden, um das Risiko zu minimieren, dass vertrauliche Informationen an Unbefugte gelangen. Die Verfahren für die sichere Wiederverwendung oder Entsorgung von Speichermedien, die vertrauliche Informationen enthalten, sollten der Sensibilität dieser Informationen angemessen sein. Die folgenden Punkte sollten berücksichtigt werden:
a) Wenn Speichermedien mit vertraulichen Informationen innerhalb der Organisation wiederverwendet werden müssen, sollten die Daten vor der Wiederverwendung sicher gelöscht oder die Speichermedien formatiert werden (siehe 8.10); 
b) Speichermedien mit vertraulichen Informationen sollten sicher entsorgt werden, wenn sie nicht mehr benötigt werden (z. B. durch Vernichtung, Schreddern oder sicheres Löschen des Inhalts); 
c) es sollten Verfahren zur Identifizierung der Objekte vorhanden sein, die sicher entsorgt werden müssen; 
d) viele Organisationen bieten Sammel- und Entsorgungsdienste für Speichermedien an. Es sollte darauf geachtet werden, dass ein geeigneter externer Anbieter mit angemessenen Kontrollen und Erfahrung ausgewählt wird; 
e) die Entsorgung sensibler Gegenstände sollte protokolliert werden, um einen Prüfpfad aufrechtzuerhalten; 
f) beim Sammeln von Speichermedien zur Entsorgung sollte der Aggregationseffekt berücksichtigt werden, der dazu führen kann, dass eine große Menge nicht sensibler Informationen sensibel wird.
Bei beschädigten Geräten, die sensible Daten enthalten, sollte 
eine Risikobewertung durchgeführt werden, um festzustellen, ob die Geräte physisch zerstört werden sollten, anstatt sie zur Reparatur einzusenden oder wegzuwerfen (siehe 7.14).</t>
  </si>
  <si>
    <t>Organisationen sind auf Versorgungseinrichtungen (z.B. Elektrizität, Telekommunikation, Wasserversorgung, Gas, Abwasser, Lüftung und Klimaanlage) angewiesen, um ihre Informationsverarbeitungseinrichtungen zu unterstützen. Daher sollte die Organisation:
a) sicherstellen, dass die Geräte, die die Versorgungseinrichtungen unterstützen, in Übereinstimmung mit den jeweiligen Herstellerspezifikationen konfiguriert, betrieben und gewartet werden; 
b) sicherstellen, dass die Versorgungseinrichtungen regelmäßig auf ihre Kapazität zur Bewältigung des Geschäftswachstums und der Wechselwirkungen mit anderen unterstützenden Versorgungseinrichtungen überprüft werden; 
c) sicherstellen, dass die Geräte, die die Versorgungseinrichtungen unterstützen, regelmäßig inspiziert und getestet werden, um ihr ordnungsgemäßes Funktionieren sicherzustellen; 
d) falls erforderlich, Alarme auslösen, um Fehlfunktionen der Versorgungseinrichtungen zu erkennen; 
e) falls erforderlich, sicherstellen, dass die Versorgungseinrichtungen über mehrere Einspeisungen mit unterschiedlichen physischen Leitwegen verfügen; 
f) sicherstellen, dass die Einrichtungen zur Unterstützung der Versorgungseinrichtungen an ein von den Einrichtungen zur Informationsverarbeitung getrenntes Netz angeschlossen sind, falls sie an ein Netz angeschlossen sind; 
g) sicherstellen, dass die Einrichtungen zur Unterstützung der Versorgungseinrichtungen nur bei Bedarf und nur auf sichere Weise mit dem Internet verbunden sind.
Es sollte eine Notbeleuchtung und -kommunikation vorhanden sein. Notschalter und -ventile zum Abschalten von Strom, Wasser, Gas oder anderen Versorgungseinrichtungen sollten sich in der Nähe von Notausgängen oder Geräteräumen befinden. Die Kontaktdaten für den Notfall sollten aufgezeichnet werden und dem Personal im Falle eines Ausfalls zur Verfügung stehen.</t>
  </si>
  <si>
    <t>Die folgenden Richtlinien für die Sicherheit der Verkabelung sollten berücksichtigt werden:
a) Strom- und Telekommunikationsleitungen in Informationsverarbeitungseinrichtungen sollten nach Möglichkeit unterirdisch verlegt werden oder mit einem angemessenen alternativen Schutz versehen werden, z. B. mit einem Bodenkabelschutz und einem Versorgungsmast; wenn die Kabel unterirdisch verlegt werden, sollten sie vor versehentlichem Durchschneiden geschützt werden (z. B. mit Panzerrohren oder Anwesenheitssignalen). Falls die Kabel unterirdisch verlegt sind, sind sie vor versehentlichem Durchtrennen zu schützen (z. B. 
mit Panzerrohren oder Anwesenheitssignalen); 
b) Stromkabel sind von Kommunikationskabeln zu trennen, um Interferenzen zu vermeiden; 
c) bei sensiblen oder kritischen Systemen sind folgende weitere Kontrollen zu erwägen: 
1) Installation von Panzerrohren und verschlossenen Räumen oder Kästen sowie von Alarmen an Inspektions- und Abschlusspunkten; 
2) Verwendung elektromagnetischer Abschirmung zum Schutz der Kabel; 
3) regelmäßige technische und physische Kontrollen, um zu erkennen, dass nicht autorisierte Geräte an den Kabeln angeschlossen sind; 
4) kontrollierter Zugang zu Schalttafeln und Kabelräumen (z.4) kontrollierter Zugang zu Schalttafeln und Kabelräumen (z. B. 
mit mechanischen Schlüsseln oder PINs); 
5) Verwendung von Glasfaserkabeln; 
d) Kennzeichnung der Kabel an jedem Ende mit ausreichenden Quell- und Zielangaben, um die physische Identifizierung und Überprüfung des Kabels zu ermöglichen.
Es sollte fachkundiger Rat eingeholt werden, wie mit Risiken umzugehen ist, die sich aus Zwischenfällen oder Fehlfunktionen der Verkabelung ergeben.</t>
  </si>
  <si>
    <t>Die folgenden Richtlinien für die Wartung der Ausrüstung sollten berücksichtigt werden:
a) Wartung der Ausrüstung in Übereinstimmung mit den vom Lieferanten empfohlenen Wartungsintervallen und -spezifikationen; 
b) Durchführung und Überwachung eines Wartungsprogramms durch die Organisation; 
c) Durchführung von Reparaturen und Wartungsarbeiten an der Ausrüstung nur durch autorisiertes Wartungspersonal; 
d) Führung von Aufzeichnungen über alle vermuteten oder tatsächlichen Fehler sowie über alle vorbeugenden und korrigierenden Wartungsmaßnahmen; 
e) Durchführung geeigneter Kontrollen, wenn Ausrüstungen für die Wartung vorgesehen sind, wobei zu berücksichtigen ist, ob diese Wartung von Personal vor Ort oder außerhalb der Organisation durchgeführt wird; Unterwerfung des Wartungspersonals unter eine geeignete Vertraulichkeitsvereinbarung; 
f) Beaufsichtigung des Wartungspersonals bei der Durchführung von Wartungsarbeiten vor Ort; 
g) Genehmigung und Kontrolle des Zugangs zur Fernwartung; 
h) Anwendung von Sicherheitsmaßnahmen für Vermögenswerte außerhalb des Betriebsgeländes (siehe 7.9), wenn Geräte, die Informationen enthalten, zur Wartung außer Haus gebracht werden;
i) Einhaltung aller von der Versicherung auferlegten Wartungsanforderungen; 
j) vor der Wiederinbetriebnahme von Ausrüstungen nach der Wartung deren Überprüfung, um sicherzustellen, dass die Ausrüstungen nicht manipuliert wurden und ordnungsgemäß funktionieren; 
k) Anwendung von Maßnahmen zur sicheren Entsorgung oder Wiederverwendung von Ausrüstungen (siehe 7.14), wenn festgestellt wird, dass die Ausrüstungen entsorgt werden müssen.</t>
  </si>
  <si>
    <t>Die Geräte sollten überprüft werden, um sicherzustellen, dass die Speichermedien vor der Entsorgung oder Wiederverwendung enthalten sind.
Speichermedien, die vertrauliche oder urheberrechtlich geschützte Informationen enthalten, sollten physisch vernichtet werden, oder die Informationen sollten vernichtet, gelöscht oder überschrieben werden, wobei Techniken verwendet werden sollten, die die ursprünglichen Informationen unwiederbringlich machen, anstatt die Standardlöschfunktion zu verwenden. Ausführliche Hinweise zur sicheren Entsorgung von Speichermedien finden Sie unter 7.10, Hinweise zum Löschen von Informationen unter 8.10. 
Etiketten und Markierungen, die die Organisation identifizieren oder die Klassifizierung, den Eigentümer, das System oder das Netzwerk angeben, sollten vor der Entsorgung entfernt werden, einschließlich des Weiterverkaufs oder der Spende an eine Wohltätigkeitsorganisation. 
Die Organisation sollte die Entfernung von Sicherheitskontrollen wie Zugangskontrollen oder Überwachungseinrichtungen bei Beendigung des Mietverhältnisses oder beim Auszug aus den Räumlichkeiten in Betracht ziehen. Dies hängt von Faktoren ab wie:
a) dem Mietvertrag, der die Rückführung der Einrichtung in den ursprünglichen Zustand vorsieht; 
b) der Minimierung des Risikos, Systeme mit sensiblen Informationen für den nächsten Mieter zu hinterlassen (z. B. Benutzerzugangslisten, Video- oder Bilddateien); 
c) der Möglichkeit, die Kontrollen in der nächsten Einrichtung wieder zu verwenden.</t>
  </si>
  <si>
    <t>Allgemein
Die Organisation sollte eine themenspezifische Richtlinie zur sicheren Konfiguration und Handhabung von Benutzerendgeräten aufstellen. Die themenspezifische Richtlinie sollte allen relevanten Mitarbeitern mitgeteilt werden und Folgendes berücksichtigen:
a) die Art der Informationen und die Klassifizierungsstufe, die die Benutzerendgeräte bearbeiten, verarbeiten, speichern oder unterstützen können; 
b) die Registrierung von Benutzerendgeräten; 
c) die Anforderungen an den physischen Schutz; 
d) die Beschränkung der Softwareinstallation (z. B. d) Beschränkung der Softwareinstallation (z. B. ferngesteuert durch Systemadministratoren); 
e) Anforderungen an die Software der Benutzerendgeräte (einschließlich Softwareversionen) und an die Anwendung von Aktualisierungen (z. B. aktive automatische Aktualisierung); 
f) Regeln für die Verbindung mit Informationsdiensten, öffentlichen Netzen oder anderen Netzen außerhalb der Geschäftsräume (z. B. Verwendung einer persönlichen Firewall); 
g) Zugangskontrollen; 
h) Verschlüsselung von Speichergeräten;
i) Schutz vor Malware; 
j) Fernsperrung, -löschung oder -sperre; 
k) Backups; 
l) Nutzung von Webdiensten und Webanwendungen; 
m) Analyse des Endnutzerverhaltens (siehe 8.16); 
n) Verwendung von Wechseldatenträgern, einschließlich Wechselspeichern, und die Möglichkeit, physische Anschlüsse (z. B. USB-Anschlüsse) zu sperren; 
o) Nutzung von Partitionierungsfunktionen, sofern diese vom Endgerät des Nutzers unterstützt werden, mit denen die Informationen der Organisation und andere zugehörige Werte (z. B. Software) sicher von anderen Informationen und anderen zugehörigen Werten auf dem Gerät getrennt werden können.
Es sollte überlegt werden, ob bestimmte Informationen so sensibel sind, dass sie nur über Benutzerendgeräte zugänglich sind, aber nicht auf diesen Geräten gespeichert werden dürfen. In solchen Fällen können zusätzliche technische Sicherheitsvorkehrungen auf dem Gerät erforderlich sein. So muss beispielsweise sichergestellt werden, dass das Herunterladen von Dateien für die Offline-Arbeit deaktiviert ist und dass die lokale Speicherung, z. B. auf einer SD-Karte, nicht möglich ist.
Soweit möglich, sollten die Empfehlungen zu dieser Kontrolle durch Konfigurationsmanagement (siehe 8.9) oder automatisierte Tools durchgesetzt werden.
Benutzerverantwortung
Alle Benutzer sollten über die Sicherheitsanforderungen und -verfahren zum Schutz von Benutzerendgeräten sowie über ihre Verantwortung für die Umsetzung solcher Sicherheitsmaßnahmen aufgeklärt werden. Die Benutzer sollten darauf hingewiesen werden, 
a) aktive Sitzungen abzumelden und Dienste zu beenden, wenn sie nicht mehr benötigt werden; 
b) Benutzerendgeräte vor unbefugter Nutzung durch eine physische Kontrolle (z. B. Schlüsselschloss oder spezielle Schlösser) und eine logische Kontrolle (z. B. Passwortzugang) zu schützen, wenn sie nicht in Gebrauch sind; Geräte mit wichtigen, sensiblen oder kritischen Geschäftsinformationen nicht unbeaufsichtigt zu lassen; 
c) Geräte an öffentlichen Orten, in Großraumbüros, an Besprechungsorten und in anderen ungeschützten Bereichen mit besonderer Vorsicht zu verwenden (z. B. vertrauliche Informationen nicht lesen, wenn Personen darauf zugreifen).d) die 
Endgeräte der Benutzer physisch gegen Diebstahl zu schützen (z. B. in Autos und anderen Verkehrsmitteln, Hotelzimmern, Konferenzzentren und Versammlungsorten).
Für den Fall des Diebstahls oder Verlusts von Benutzerendgeräten sollte ein spezifisches Verfahren festgelegt werden, das die rechtlichen, gesetzlichen, regulatorischen, vertraglichen (einschließlich versicherungstechnischen) und sonstigen Sicherheitsanforderungen der Organisation berücksichtigt.
Nutzung privater Geräte
Wenn die Organisation die Nutzung privater Geräte (manchmal auch als BYOD bezeichnet) zulässt, sollte zusätzlich zu den in dieser Kontrolle gegebenen Hinweisen Folgendes berücksichtigt werden:
a) Trennung der privaten und geschäftlichen Nutzung der Geräte, einschließlich der Verwendung von Software zur Unterstützung einer solchen Trennung und zum Schutz von Geschäftsdaten auf einem privaten Gerät; 
b) Gewährung des Zugriffs auf Geschäftsinformationen nur, nachdem die Benutzer ihre Pflichten anerkannt haben (physischer Schutz, Softwareaktualisierung usw.), Verzicht auf das Eigentum an Geschäftsdaten, Ermöglichung der Fernlöschung von Daten durch die Organisation im Falle des Diebstahls oder Verlusts des Geräts oder wenn keine Berechtigung zur Nutzung des Dienstes mehr besteht. In solchen Fällen sollten Rechtsvorschriften zum Schutz personenbezogener Daten in Betracht gezogen werden; 
c) themenspezifische Richtlinien und Verfahren zur Vermeidung von Streitigkeiten über Rechte an geistigem Eigentum, das auf Geräten in Privatbesitz entwickelt wurde; 
d) Zugang zu Geräten in Privatbesitz (zur Überprüfung der Sicherheit des Geräts oder während einer Untersuchung), der durch Rechtsvorschriften verhindert werden kann; 
e) Softwarelizenzvereinbarungen, die so gestaltet sind, dass Organisationen für die Lizenzierung von Client-Software auf Endgeräten im Privatbesitz von Mitarbeitern oder externen Nutzern haftbar gemacht werden können.
Drahtlose Verbindungen
Die Organisation sollte Verfahren einrichten für:
a) die Konfiguration drahtloser Verbindungen auf Geräten (z. B. Deaktivierung anfälliger Protokolle); 
b) die Nutzung drahtloser oder kabelgebundener Verbindungen mit angemessener Bandbreite in Übereinstimmung mit relevanten themenspezifischen Richtlinien (z. B. weil Backups oder Software-Updates erforderlich sind).</t>
  </si>
  <si>
    <t>Die Vergabe von privilegierten Zugriffsrechten sollte durch einen Autorisierungsprozess in Übereinstimmung mit der jeweiligen themenspezifischen Richtlinie zur Zugriffskontrolle (siehe 5.15) gesteuert werden. Dabei ist Folgendes zu beachten:
a) Identifizierung der Benutzer, die für jedes System oder jeden Prozess (z. B. Betriebssysteme, Datenbankverwaltungssysteme und Anwendungen) privilegierte Zugriffsrechte benötigen; 
b) Zuweisung von privilegierten Zugriffsrechten an Benutzer nach Bedarf und auf einer ereignisbezogenen Basis in Übereinstimmung mit der themenspezifischen Richtlinie zur Zugriffskontrolle (siehe 5.15) (d. h. nur an Personen mit der erforderlichen Kompetenz zur Durchführung von Aktivitäten, die einen privilegierten Zugriff erfordern, und auf der Grundlage der Mindestanforderungen für ihre funktionalen Rollen); 
c) Aufrechterhaltung eines Autorisierungsprozesses (d. h. Festlegung, wer
d. h. Festlegung, wer privilegierte Zugriffsrechte genehmigen kann, oder Nichtgewährung von privilegierten Zugriffsrechten, bis der Genehmigungsprozess abgeschlossen ist) und Aufzeichnung aller zugewiesenen Privilegien; 
d) Festlegung und Umsetzung von Anforderungen für das Erlöschen von privilegierten Zugriffsrechten; 
e) Ergreifung von Maßnahmen, um sicherzustellen, dass die Benutzer ihre privilegierten Zugriffsrechte kennen und wissen, wann sie sich im privilegierten Zugriffsmodus befinden. Mögliche Maßnahmen sind die Verwendung spezieller Benutzeridentitäten, Einstellungen der Benutzeroberfläche oder sogar spezieller Geräte; 
f) die Authentifizierungsanforderungen für privilegierte Zugangsrechte können höher sein als die Anforderungen für normale Zugangsrechte. Vor der Arbeit mit privilegierten Zugriffsrechten kann eine erneute Authentifizierung oder ein Authentifizierungsschritt erforderlich sein; 
g) regelmäßige Überprüfung von Benutzern, die mit privilegierten Zugriffsrechten arbeiten, nach jeder organisatorischen Änderung, um zu überprüfen, ob ihre Aufgaben, Rollen, Verantwortlichkeiten und Kompetenzen sie immer noch für die Arbeit mit privilegierten Zugriffsrechten qualifizieren (siehe 5.18); 
h) Festlegung spezifischer Regeln, um die Verwendung allgemeiner Administrations-Benutzerkennungen (wie z. B. "root") zu vermeiden, abhängig von den Konfigurationsmöglichkeiten der Systeme. Verwaltung und Schutz der Authentifizierungsinformationen solcher Identitäten (siehe 5.17);
i) Gewährung eines zeitlich begrenzten privilegierten Zugriffs nur für das Zeitfenster, das für die Durchführung genehmigter Änderungen oder Aktivitäten erforderlich ist (z. B. für Wartungsarbeiten oder einige kritische Änderungen), anstatt dauerhaft privilegierte Zugriffsrechte zu gewähren. Dies wird oft als "Break-Glass"-Verfahren bezeichnet und häufig durch Technologien zur Verwaltung von Zugriffsrechten automatisiert; 
j) Protokollierung aller privilegierten Zugriffe auf Systeme zu Prüfzwecken; 
k) keine gemeinsame Nutzung oder Verknüpfung von Identitäten mit privilegierten Zugriffsrechten für mehrere Personen, sondern Zuweisung einer eigenen Identität für jede Person, die die Zuweisung spezifischer privilegierter Zugriffsrechte ermöglicht. Identitäten können gruppiert werden (z. B. durch Definition einer Administratorengruppe), um die Verwaltung von privilegierten Zugriffsrechten zu vereinfachen; 
l) Verwendung von Identitäten mit privilegierten Zugriffsrechten nur für die Durchführung von Verwaltungsaufgaben und nicht für alltägliche allgemeine Aufgaben [d. h. Abrufen von E-Mails, Zugriff auf das Internet (die Benutzer sollten für diese Tätigkeiten eine separate normale Netzwerkidentität haben)].</t>
  </si>
  <si>
    <t>Der Zugang zu Informationen und anderen zugehörigen Vermögenswerten sollte in Übereinstimmung mit den festgelegten themenspezifischen Richtlinien eingeschränkt werden. Um die Anforderungen an die Zugangsbeschränkung zu unterstützen, sollten folgende Punkte berücksichtigt werden:
a) Der Zugang zu sensiblen Informationen durch unbekannte Benutzeridentitäten oder anonym sollte nicht gestattet werden. Öffentlicher oder anonymer Zugriff sollte nur auf Speicherorte gewährt werden, die keine sensiblen Informationen enthalten; 
b) Bereitstellung von Konfigurationsmechanismen zur Kontrolle des Zugriffs auf Informationen in Systemen, Anwendungen und Diensten; 
c) Kontrolle, auf welche Daten ein bestimmter Benutzer zugreifen kann; 
d) Kontrolle, welche Identitäten oder Gruppen von Identitäten welchen Zugriff haben, z. B. Lesen, Schreiben, Löschen und Ausführen; 
e) Bereitstellung physischer oder logischer Zugriffskontrollen für die Isolierung sensibler Anwendungen, Anwendungsdaten oder Systeme.
Darüber hinaus sollten dynamische Zugriffsverwaltungstechniken und -prozesse zum Schutz sensibler Informationen, die einen hohen Wert für die Organisation haben, in Betracht gezogen werden, wenn die Organisation:
a) eine genaue Kontrolle darüber benötigt, wer in welchem Zeitraum und auf welche Weise auf solche Informationen zugreifen kann; 
b) solche Informationen an Personen außerhalb der Organisation weitergeben und die Kontrolle darüber behalten möchte, wer darauf zugreifen kann; 
c) die Nutzung und Verteilung solcher Informationen in Echtzeit dynamisch verwalten möchte; 
d) solche Informationen gegen unbefugte Änderungen, Kopieren und Verteilen (einschließlich Drucken) schützen möchte; 
e) die Nutzung der Informationen überwachen möchte; 
f) alle an solchen Informationen vorgenommenen Änderungen aufzeichnen möchte, für den Fall, dass eine zukünftige Untersuchung erforderlich ist.
Techniken zur Verwaltung des dynamischen Zugriffs sollten Informationen während ihres gesamten Lebenszyklus (d. h. Erstellung, Verarbeitung, Speicherung, Übertragung und Entsorgung) schützen, einschließlich: 
a) Festlegung von Regeln für die Verwaltung des dynamischen Zugriffs auf der Grundlage spezifischer Anwendungsfälle, wobei Folgendes zu berücksichtigen ist: 
1) Erteilung von Zugriffsberechtigungen auf der Grundlage von Identität, Gerät, Standort oder Anwendung; 
2) Nutzung des Klassifizierungsschemas, um zu bestimmen, welche Informationen mit Techniken zur Verwaltung des dynamischen Zugriffs geschützt werden müssen; 
b) Festlegung von Betriebs-, Überwachungs- und Berichterstattungsprozessen sowie der unterstützenden technischen Infrastruktur.
Systeme zur dynamischen Zugriffsverwaltung sollten Informationen schützen, indem sie 
a) eine Authentifizierung, geeignete Anmeldeinformationen oder ein Zertifikat für den Zugriff auf Informationen verlangen; 
b) den Zugriff einschränken, z. B. auf einen bestimmten Zeitraum (z. B. nach einem bestimmten Datum oder bis zu einem bestimmten Datum); 
c) Verschlüsselung zum Schutz von Informationen verwenden; 
d) die Druckberechtigungen für die Informationen festlegen; 
e) aufzeichnen, wer auf die Informationen zugreift und wie die Informationen verwendet werden; f) Warnmeldungen ausgeben, wenn Versuche zum Missbrauch der Informationen festgestellt werden.</t>
  </si>
  <si>
    <t>Der Zugang zu Quellcode und zugehörigen Elementen (wie Entwürfen, Spezifikationen, Verifikations- und Validierungsplänen) und Entwicklungswerkzeugen (z. B. Compilern, Buildern, Integrationswerkzeugen, Testplattformen und -umgebungen) sollte streng kontrolliert werden.
Bei Quellcode kann dies durch die Kontrolle der zentralen Speicherung dieses Codes erreicht werden, vorzugsweise in einem Quellcode-Verwaltungssystem.
Der Lese- und Schreibzugriff auf den Quellcode kann je nach der Rolle des Personals unterschiedlich sein. So kann beispielsweise der 
Lesezugriff auf den Quellcode innerhalb der Organisation allgemein gewährt werden, der Schreibzugriff auf den Quellcode ist jedoch nur privilegierten Mitarbeitern oder bestimmten Eigentümern vorbehalten. Wenn Code-Komponenten von mehreren Entwicklern innerhalb einer Organisation verwendet werden, sollte ein Lesezugriff auf ein zentrales Code-Repository eingerichtet werden. Wenn Open-Source-Code oder Code-Komponenten von Drittanbietern innerhalb einer Organisation verwendet werden, kann der Lesezugriff auf solche externen Code-Repositories weitgehend gewährt werden. Der Schreibzugriff sollte jedoch weiterhin eingeschränkt werden.
Für die Kontrolle des Zugriffs auf Programmquellbibliotheken sollten die folgenden Richtlinien berücksichtigt werden, um das Potenzial für die Verfälschung von Computerprogrammen zu verringern: 
a) Verwaltung des Zugriffs auf Programmquellcode und Programmquellbibliotheken nach festgelegten Verfahren; 
b) Gewährung von Lese- und Schreibzugriff auf Quellcode auf der Grundlage der geschäftlichen Erfordernisse und unter Berücksichtigung des Risikos der Veränderung oder des Missbrauchs sowie nach festgelegten Verfahren; 
c) Aktualisierung des Quellcodes und zugehöriger Elemente und Gewährung des Zugriffs auf Quellcode in Übereinstimmung mit Änderungskontrollverfahren (siehe 8.32) und nur nach entsprechender Autorisierung; 
d) kein direkter Zugang für Entwickler zum Quellcode-Repository, sondern über Entwickler-Tools, die Aktivitäten und Autorisierungen am Quellcode kontrollieren; 
e) Aufbewahrung von Programmlisten in einer sicheren Umgebung, in der Lese- und Schreibzugriff angemessen verwaltet und zugewiesen werden sollten; 
f) Führung eines Audit-Protokolls aller Zugriffe und aller Änderungen am Quellcode.
Wenn der Programmquellcode veröffentlicht werden soll, sollten zusätzliche Kontrollen zur Gewährleistung seiner Integrität (z. B. digitale Signatur) in Betracht gezogen werden.</t>
  </si>
  <si>
    <t>Es sollte ein geeignetes Authentifizierungsverfahren gewählt werden, um die behauptete Identität eines Benutzers, einer Software, von Nachrichten und anderen Einheiten zu bestätigen.
Die Stärke der Authentifizierung sollte der Klassifizierung der Informationen, auf die zugegriffen werden soll, angemessen sein. Wenn eine starke Authentifizierung und Identitätsüberprüfung erforderlich ist, sollten alternative Authentifizierungsmethoden zu Passwörtern verwendet werden, z. B. digitale Zertifikate, Chipkarten, Token oder biometrische Mittel.
Die Authentifizierungsinformationen sollten durch zusätzliche Authentifizierungsfaktoren für den Zugriff auf kritische Informationssysteme ergänzt werden (auch bekannt als Multi-Faktor-Authentifizierung). Die Verwendung einer Kombination aus mehreren Authentifizierungsfaktoren, z. B. was Sie wissen, was Sie haben und was Sie sind, verringert die Möglichkeiten für unbefugte Zugriffe. Die Multi-Faktor-Authentifizierung kann mit anderen Techniken kombiniert werden, um unter bestimmten Umständen, basierend auf vordefinierten Regeln und Mustern, zusätzliche Faktoren zu verlangen, z. B. Zugang von einem ungewöhnlichen Ort, von einem ungewöhnlichen Gerät oder zu einer ungewöhnlichen Zeit.
Die Informationen zur biometrischen Authentifizierung sollten ungültig gemacht werden, wenn sie jemals kompromittiert werden. Die biometrische Authentifizierung kann je nach Einsatzbedingungen (z. B. Feuchtigkeit oder Alterung) nicht mehr verfügbar sein. Um für diese Fälle gewappnet zu sein, sollte die biometrische Authentifizierung mit mindestens einer alternativen Authentifizierungstechnik kombiniert werden.
Das Verfahren zur Anmeldung bei einem System oder einer Anwendung sollte so gestaltet sein, dass das Risiko eines unbefugten Zugriffs minimiert wird. Bei der Implementierung von Anmeldeverfahren und -technologien sollte Folgendes beachtet werden: 
a) keine Anzeige sensibler System- oder Anwendungsinformationen bis zum erfolgreichen Abschluss des Anmeldevorgangs, um zu vermeiden, dass ein unbefugter Benutzer unnötige Unterstützung erhält; 
b) Anzeige eines allgemeinen Hinweises, der darauf hinweist, dass nur autorisierte Benutzer auf das System, die Anwendung oder den Dienst zugreifen dürfen; 
c) keine Bereitstellung von Hilfemeldungen während des Anmeldevorgangs, die einem unbefugten Benutzer helfen würden (z. B. wenn ein Fehler auftritt).
z. B. sollte das System bei Auftreten eines Fehlers nicht anzeigen, welcher Teil der Daten richtig oder falsch ist); 
d) Validierung der Anmeldeinformationen erst nach Vervollständigung aller Eingabedaten; 
e) Schutz vor Brute-Force-Anmeldeversuchen bei Benutzernamen und Passwörtern [z.z. B. Verwendung eines vollständig automatisierten öffentlichen Turing-Tests zur Unterscheidung von Computern und Menschen (CAPTCHA), Zurücksetzen des Passworts nach einer vordefinierten Anzahl von Fehlversuchen oder Sperren des Benutzers nach einer maximalen Anzahl von Fehlern]; 
f) Protokollierung erfolgloser und erfolgreicher Versuche; 
g) Auslösen eines Sicherheitsereignisses, wenn ein potenzieller versuchter oder erfolgreicher Verstoß gegen die Anmeldekontrollen festgestellt wird (z. B. 
Senden einer Warnung an den Benutzer und die Systemadministratoren der Organisation, wenn eine bestimmte Anzahl falscher Kennwortversuche erreicht wurde); 
h) Anzeige oder Senden der folgenden Informationen über einen separaten Kanal nach Abschluss einer erfolgreichen Anmeldung
:
1) Datum und Uhrzeit der letzten erfolgreichen Anmeldung; 
2) Einzelheiten zu allen erfolglosen Anmeldeversuchen seit der letzten erfolgreichen Anmeldung;
i) keine Anzeige eines Kennworts im Klartext, wenn es eingegeben wird; in einigen Fällen kann es erforderlich sein, diese Funktion zu deaktivieren, um die Benutzeranmeldung zu erleichtern (z. B. in einigen Fällen kann es erforderlich sein, diese Funktion zu deaktivieren, um die Benutzeranmeldung zu erleichtern (z. B. aus Gründen der Zugänglichkeit oder um zu vermeiden, dass Benutzer wegen wiederholter Fehler gesperrt werden); 
j) keine Übertragung von Kennwörtern im Klartext über ein Netzwerk, um zu verhindern, dass sie von einem Netzwerk-"Sniffer"-Programm erfasst werden; 
k) Beendigung inaktiver Sitzungen nach einer bestimmten Zeit der Inaktivität, insbesondere an Orten mit hohem Risiko, wie z. B. in öffentlichen oder externen Bereichen außerhalb des Sicherheitsmanagements der Organisation oder auf Endgeräten der Benutzer; 
l) Begrenzung der Verbindungsdauer, um zusätzliche Sicherheit für Anwendungen mit hohem Risiko zu bieten und das Zeitfenster für unbefugten Zugriff zu verringern.</t>
  </si>
  <si>
    <t>Der Kapazitätsbedarf für Informationsverarbeitungsanlagen, Personal, Büros und andere Einrichtungen sollte unter Berücksichtigung der Geschäftskritikalität der betreffenden Systeme und Prozesse ermittelt werden.
Durch Systemabstimmung und -überwachung soll die Verfügbarkeit und Effizienz der Systeme sichergestellt und erforderlichenfalls verbessert werden.
Die Organisation sollte Stresstests von Systemen und Diensten durchführen, um zu bestätigen, dass ausreichende Systemkapazitäten zur Verfügung stehen, um die Anforderungen an die Spitzenleistung zu erfüllen.
Es sollten Detektivkontrollen eingerichtet werden, um Probleme rechtzeitig zu erkennen.
Bei der Prognose des künftigen Kapazitätsbedarfs sollten neue Geschäfts- und Systemanforderungen sowie aktuelle und voraussichtliche Trends bei den Informationsverarbeitungskapazitäten der Organisation berücksichtigt werden.
Besonderes Augenmerk sollte auf Ressourcen mit langen Beschaffungsfristen oder hohen Kosten gelegt werden. Daher sollten Manager, Service- oder Produktverantwortliche die Auslastung der wichtigsten Systemressourcen überwachen.
Manager sollten Kapazitätsinformationen nutzen, um potenzielle Ressourcenbeschränkungen und Abhängigkeiten von Schlüsselpersonal, die eine Bedrohung für die Systemsicherheit oder die Dienste darstellen können, zu erkennen und zu vermeiden und entsprechende Maßnahmen zu planen.
Die Bereitstellung einer ausreichenden Kapazität kann durch eine Erhöhung der Kapazität oder durch eine Verringerung der Nachfrage erreicht werden. Zur Erhöhung der Kapazität sollten folgende Maßnahmen in Betracht gezogen werden: 
a) Einstellung von neuem Personal; 
b) Beschaffung neuer Einrichtungen oder Räumlichkeiten; 
c) Anschaffung leistungsfähigerer Verarbeitungssysteme, Arbeitsspeicher und Speichermedien; 
d) Nutzung von Cloud Computing, das über inhärente Merkmale verfügt, die sich direkt auf Kapazitätsfragen auswirken. Cloud Computing verfügt über Elastizität und Skalierbarkeit, die es ermöglichen, die für bestimmte Anwendungen und Dienste verfügbaren Ressourcen nach Bedarf schnell zu erweitern oder zu reduzieren.
Um die Nachfrage nach den Ressourcen der Organisation zu verringern, sollten folgende Maßnahmen in Betracht gezogen werden: 
a) Löschung veralteter Daten (Festplattenplatz); 
b) Entsorgung von Papierdokumenten, deren Aufbewahrungsfrist abgelaufen ist (Freigabe von Regalplatz); 
c) Stilllegung von Anwendungen, Systemen, Datenbanken oder Umgebungen; 
d) Optimierung von Batch-Prozessen und Zeitplänen; 
e) Optimierung von Anwendungscode oder Datenbankabfragen; 
f) Verweigerung oder Einschränkung der Bandbreite für ressourcenintensive Dienste, wenn diese nicht kritisch sind (z. B. Videostreaming).
Für unternehmenskritische Systeme sollte ein dokumentierter Kapazitätsmanagementplan in Betracht gezogen werden.</t>
  </si>
  <si>
    <t>Der Schutz vor Malware sollte auf Malware-Erkennungs- und -Reparatursoftware, Informationssicherheitsbewusstsein, angemessenem Systemzugang und Kontrollen der Änderungsverwaltung beruhen. Die Verwendung von Software zur Erkennung und Reparatur von Schadsoftware allein ist in der Regel nicht ausreichend. Die folgenden Hinweise sollten berücksichtigt werden:
a) Implementierung von Regeln und Kontrollen, die die Verwendung nicht zugelassener Software verhindern oder aufdecken [z. B. Application allowlisting (d. h. Verwendung einer Liste mit zugelassenen Anwendungen)] (siehe 8.19 und 8.32); 
b) Implementierung von Kontrollen, die die Nutzung bekannter oder mutmaßlich bösartiger Websites verhindern oder aufdecken (z. B. Blocklisting); 
c) Reduzierung von Schwachstellen, die von Malware ausgenutzt werden können [z. B. durch technisches Schwachstellenmanagement (siehe 8.8 und 8.19)]; 
d) Durchführung regelmäßiger automatischer Validierungen der Software und des Dateninhalts von Systemen, insbesondere bei Systemen, die kritische Geschäftsprozesse unterstützen; Untersuchung des Vorhandenseins nicht genehmigter Dateien oder nicht genehmigter Änderungen; 
e) Festlegung von Schutzmaßnahmen gegen Risiken im Zusammenhang mit der Beschaffung von Dateien und Software entweder von oder über externe Netzwerke oder auf einem anderen Medium; 
f) Installation und regelmäßige Aktualisierung von Software zur Erkennung und Reparatur von Schadsoftware, um Computer und elektronische Speichermedien zu scannen. Durchführung regelmäßiger Scans, die Folgendes umfassen:
1) Scannen aller Daten, die über Netzwerke oder über jegliche Form von elektronischen Speichermedien empfangen werden, vor der Verwendung auf Malware; 
2) Scannen von E-Mail- und Instant-Messaging-Anhängen und Downloads vor der Verwendung auf Malware. Durchführung dieser Überprüfung an verschiedenen Stellen (z. B. auf E-Mail-Servern, Desktop-Computern) und beim Eintritt in das Netzwerk der Organisation; 
3) Überprüfung von Webseiten auf Schadsoftware, sobald darauf zugegriffen wird; 
g) Festlegung der Platzierung und Konfiguration von Tools zur Erkennung und Reparatur von Schadsoftware auf der Grundlage der Ergebnisse der Risikobewertung und unter Berücksichtigung folgender Aspekte:
1) Grundsätze der Tiefenverteidigung, wo sie am wirksamsten sind. Dies kann beispielsweise zur Erkennung von Malware in einem Netzwerk-Gateway (in verschiedenen Anwendungsprotokollen wie E-Mail, Dateitransfer und Web) sowie in Endgeräten und Servern des Benutzers führen; 
2) die Ausweichtechniken von Angreifern (z. B. die Verwendung verschlüsselter Dateien) zur Übermittlung von Malware oder die Verwendung von Verschlüsselungsprotokollen zur Übertragung von Malware; 
h) Schutz vor der Einschleppung von Malware bei Wartungs- und Notfallmaßnahmen, die normale Kontrollen gegen Malware umgehen können;
i) Einführung eines Verfahrens zur Genehmigung der vorübergehenden oder dauerhaften Deaktivierung einiger oder aller Maßnahmen gegen Malware, einschließlich Ausnahmegenehmigungsbehörden, dokumentierter Begründung und Überprüfungsdatum. Dies kann erforderlich sein, wenn der Schutz vor Schadsoftware zu einer Unterbrechung des normalen Betriebs führt; 
j) Ausarbeitung geeigneter Pläne zur Aufrechterhaltung des Geschäftsbetriebs für die Wiederherstellung nach Schadsoftwareangriffen, einschließlich aller erforderlichen Daten- und Softwaresicherungen (einschließlich Online- und Offline-Sicherungen) und Wiederherstellungsmaßnahmen (siehe 8.13); 
k) Isolierung von Umgebungen, in denen katastrophale Folgen auftreten können; 
l) Festlegung von Verfahren und Zuständigkeiten für den Umgang mit dem Schutz vor Schadsoftware auf Systemen, einschließlich der Schulung in ihrer Verwendung, der Meldung und Wiederherstellung nach Schadsoftwareangriffen; 
m) Sensibilisierung oder Schulung (siehe 6.3) für alle Benutzer, wie sie den Empfang, das Versenden oder die Installation von mit Malware infizierten E-Mails, Dateien oder Programmen erkennen und möglicherweise eindämmen können [die in n) und o) gesammelten Informationen können verwendet werden, um sicherzustellen, dass das Bewusstsein und die Schulungen auf dem neuesten Stand gehalten werden]; 
n) Einführung von Verfahren zur regelmäßigen Sammlung von Informationen über neue Malware, z. B. durch das Abonnieren von Mailinglisten oder die Überprüfung einschlägiger Websites; 
o) Überprüfung, ob Informationen über Malware, wie z. B. Warnmeldungen, aus qualifizierten und seriösen Quellen stammen (z. B. von zuverlässigen Internetseiten oder Anbietern von Malware).
z. B. zuverlässige Internetseiten oder Anbieter von Malware-Erkennungssoftware) stammen und korrekt und informativ sind.</t>
  </si>
  <si>
    <t>Identifizierung technischer Schwachstellen
Die Organisation sollte als Voraussetzung für ein effektives technisches Schwachstellenmanagement über ein genaues Inventar der Bestände (siehe 5.9 bis 5.14) verfügen; das Inventar sollte den Softwarehersteller, den Softwarenamen, die Versionsnummern, den aktuellen Einsatzstatus (z.B. welche Software auf welchen Systemen installiert ist) und die für die Software zuständige(n) Person(en) innerhalb der Organisation enthalten.
Um technische Schwachstellen zu identifizieren, sollte die Organisation Folgendes in Erwägung ziehen: 
a) Definition und Festlegung der Rollen und Zuständigkeiten im Zusammenhang mit dem Management technischer Schwachstellen, einschließlich der Überwachung von Schwachstellen, der Risikobewertung von Schwachstellen, der Aktualisierung, der Nachverfolgung von Vermögenswerten und der erforderlichen Koordinierungsaufgaben; 
b) für Software und andere Technologien (auf der Grundlage der Bestandsliste, siehe 5.9) die Identifizierung von Informationsressourcen, die für die Identifizierung relevanter technischer Schwachstellen und die Aufrechterhaltung des Bewusstseins für diese genutzt werden. Aktualisierung der Liste der Informationsressourcen auf der Grundlage von Änderungen im Inventar oder wenn andere neue oder nützliche Ressourcen gefunden werden; 
c) Verpflichtung der Lieferanten von Informationssystemen (einschließlich ihrer Komponenten), die Meldung, Behandlung und Offenlegung von Schwachstellen zu gewährleisten, einschließlich der Anforderungen in anwendbaren Verträgen (siehe 5.20); 
d) Einsatz von für die verwendeten Technologien geeigneten Schwachstellen-Scan-Tools zur Ermittlung von Schwachstellen und zur Überprüfung, ob die Behebung von Schwachstellen erfolgreich war; 
e) Durchführung geplanter, dokumentierter und wiederholbarer Penetrationstests oder Schwachstellenbewertungen durch kompetente und befugte Personen zur Unterstützung der Ermittlung von Schwachstellen. Dabei ist Vorsicht geboten, da solche Aktivitäten zu einer Beeinträchtigung der Sicherheit des Systems führen können; 
f) Nachverfolgung der Verwendung von Bibliotheken und Quellcode Dritter auf Schwachstellen. Dies sollte in die sichere Kodierung einbezogen werden 
(siehe 8.28).
Die Organisation soll Verfahren und Fähigkeiten entwickeln, um:
a) das Vorhandensein von Schwachstellen in ihren Produkten und Diensten einschließlich aller darin verwendeten externen Komponenten zu erkennen; 
b) Schwachstellenmeldungen aus internen oder externen Quellen zu erhalten.
Die Organisation soll eine öffentliche Kontaktstelle als Teil einer themenspezifischen Richtlinie zur Offenlegung von Schwachstellen einrichten, damit Forscher und andere Personen Probleme melden können. Die Organisation sollte Verfahren für die Meldung von Schwachstellen, Online-Meldeformulare und die Nutzung geeigneter Foren für den Austausch von Informationen über Bedrohungen oder Informationen einrichten. Die Organisation sollte auch Bug-Bounty-Programme in Erwägung ziehen, bei denen Belohnungen als Anreiz für die Unterstützung von Organisationen bei der Identifizierung von Schwachstellen angeboten werden, um sie angemessen zu beheben. Die Organisation sollte auch Informationen mit zuständigen Branchenverbänden oder anderen interessierten Parteien austauschen. 
Bewertung technischer Schwachstellen
Bei der Bewertung festgestellter technischer Schwachstellen sollten folgende Hinweise beachtet werden:
a) Analyse und Überprüfung von Berichten, um festzustellen, welche Maßnahmen zur Reaktion und Behebung erforderlich sind; 
b) nach der Feststellung einer potenziellen technischen Schwachstelle Ermittlung der damit verbundenen Risiken und der zu treffenden Maßnahmen. Solche Maßnahmen können die Aktualisierung der anfälligen Systeme oder die Anwendung anderer Kontrollen beinhalten.
Ergreifung geeigneter Maßnahmen zur Behebung technischer Schwachstellen
Es sollte ein Prozess zur Verwaltung von Software-Updates eingeführt werden, um sicherzustellen, dass die aktuellsten genehmigten Patches und Anwendungs-Updates für alle autorisierte Software installiert werden. Wenn Änderungen erforderlich sind, sollte die Originalsoftware beibehalten und die Änderungen auf eine bestimmte Kopie angewendet werden. Alle Änderungen sollten umfassend getestet und dokumentiert werden, so dass sie bei Bedarf in künftigen Software-Upgrades erneut angewendet werden können. Falls erforderlich, sollten die Änderungen von einer unabhängigen Prüfstelle getestet und validiert werden.
Zur Behebung von technischen Schwachstellen sollten folgende Hinweise berücksichtigt werden: 
a) Ergreifen geeigneter und rechtzeitiger Maßnahmen als Reaktion auf die Identifizierung potenzieller technischer Schwachstellen; Festlegung eines Zeitplans für die Reaktion auf Meldungen über potenziell relevante technische Schwachstellen; 
b) je nachdem, wie dringend eine technische Schwachstelle behoben werden muss, Durchführung der Maßnahmen gemäß den Kontrollen im Zusammenhang mit der Änderungsverwaltung (siehe 8.32) oder durch Befolgung der Verfahren zur Reaktion auf Informationssicherheitsvorfälle (siehe 5.26); 
c) ausschließliche Verwendung von Updates aus legitimen Quellen (die organisationsintern oder -extern sein können); 
d) Testen und Bewerten von Updates vor deren Installation, um sicherzustellen, dass sie wirksam sind und keine nicht tolerierbaren Nebenwirkungen haben [d. h. wenn ein Update verfügbar ist, Bewertung der Risiken, die mit der Installation des Updates verbunden sind (die von der Schwachstelle ausgehenden Risiken sollten mit dem Risiko der Installation des Updates verglichen werden)]; 
e) Behandlung von Systemen mit hohem Risiko zuerst; 
f) Entwicklung von Abhilfemaßnahmen (in der Regel Software-Updates oder Patches); 
g) Test, um zu bestätigen, dass die Abhilfemaßnahmen oder die Schadensbegrenzung wirksam sind; 
h) Bereitstellung von Mechanismen zur Überprüfung der Authentizität der Abhilfemaßnahmen;
i) wenn kein Update verfügbar ist oder das Update nicht installiert werden kann, andere Kontrollen in Erwägung ziehen, wie z. B.: 
  1) Anwendung von Abhilfemaßnahmen, die vom Softwarehersteller oder anderen relevanten Quellen vorgeschlagen werden; 
  2) Abschaltung von Diensten oder Funktionen, die mit der Schwachstelle in Zusammenhang stehen; 
  3) Anpassung oder Hinzufügen von Zugangskontrollen (z. B. Firewalls) an den Netzwerkgrenzen (siehe 8.20 bis 8.22); 
  4) Abschirmung der anfälligen Systeme, Geräte oder Anwendungen vor Angriffen durch den Einsatz geeigneter Verkehrsfilter (manchmal auch als virtuelles Patching bezeichnet); 
  5) verstärkte Überwachung zur Erkennung tatsächlicher Angriffe; 
  6) Sensibilisierung für die Schwachstelle.
Wenn die Hersteller erworbener Software regelmäßig Informationen über Sicherheitsupdates für ihre Software veröffentlichen und die Möglichkeit bieten, solche Updates automatisch zu installieren, sollte die Organisation entscheiden, ob sie die automatische Aktualisierung nutzen will oder nicht.
Sonstige Überlegungen
Ein Audit-Protokoll sollte für alle Schritte des technischen Schwachstellenmanagements geführt werden.
Der Prozess des technischen Schwachstellenmanagements sollte regelmäßig überwacht und bewertet werden, um seine Effektivität und Effizienz zu gewährleisten.
Ein wirksamer Prozess für das technische Schwachstellenmanagement sollte mit den Aktivitäten des Vorfallsmanagements abgestimmt werden, um Daten über Schwachstellen an die Vorfallsreaktionsfunktion zu übermitteln und technische Verfahren für den Fall eines Vorfalls bereitzustellen.
Nutzt die Organisation einen Cloud-Service, der von einem Drittanbieter bereitgestellt wird, sollte das technische Schwachstellenmanagement der Ressourcen des Cloud-Service-Anbieters vom Cloud-Service-Anbieter sichergestellt werden. Die Verantwortlichkeiten des Cloud-Service-Anbieters für das technische Schwachstellenmanagement sollten Teil der Cloud-Service-Vereinbarung sein und Prozesse für die Meldung der Maßnahmen des Cloud-Service-Anbieters in Bezug auf technische Schwachstellen umfassen (siehe 5.23). Bei einigen Cloud-Diensten sind der Cloud-Diensteanbieter und der Cloud-Dienste-Kunde jeweils für etwas verantwortlich. So ist beispielsweise der Cloud-Service-Kunde für das Schwachstellenmanagement seiner eigenen für die Cloud-Dienste genutzten Anlagen verantwortlich.</t>
  </si>
  <si>
    <t>Allgemein
Die Organisation sollte Prozesse und Werkzeuge definieren und implementieren, um die definierten Konfigurationen (einschließlich der Sicherheitskonfigurationen) für Hardware, Software, Dienste (z. B. Cloud-Dienste) und Netzwerke sowohl für neu installierte Systeme als auch für betriebliche Systeme über deren gesamte Lebensdauer durchzusetzen.
Es sollten Rollen, Verantwortlichkeiten und Verfahren vorhanden sein, um eine zufriedenstellende Kontrolle aller Konfigurationsänderungen zu gewährleisten.
Standardvorlagen
Es sollten Standardvorlagen für die sichere Konfiguration von Hardware, Software, Diensten und Netzen festgelegt werden:
a) unter Verwendung öffentlich zugänglicher Anleitungen (z. B. vordefinierte Vorlagen von Anbietern und unabhängigen Sicherheitsorganisationen); 
b) unter Berücksichtigung des erforderlichen Schutzniveaus, um ein ausreichendes Sicherheitsniveau zu bestimmen; 
c) zur Unterstützung der Informationssicherheitspolitik der Organisation, themenspezifischer Richtlinien, Standards und anderer Sicherheitsanforderungen; 
d) unter Berücksichtigung der Durchführbarkeit und Anwendbarkeit von Sicherheitskonfigurationen im Kontext der Organisation.
Die Vorlagen sollten regelmäßig überprüft und aktualisiert werden, wenn neue Bedrohungen oder Schwachstellen behandelt werden müssen oder wenn neue Software- oder Hardwareversionen eingeführt werden.
Bei der Erstellung von Standardvorlagen für die sichere Konfiguration von Hardware, Software, Diensten und Netzwerken sollten folgende Punkte berücksichtigt werden:
a) Minimierung der Anzahl von Identitäten mit privilegierten oder Administrator-Zugriffsrechten; 
b) Deaktivierung unnötiger, ungenutzter oder unsicherer Identitäten; 
c) Deaktivierung oder Einschränkung unnötiger Funktionen und Dienste; 
d) Einschränkung des Zugriffs auf leistungsstarke Hilfsprogramme und Host-Parametereinstellungen; 
e) Synchronisierung der Uhren; 
f) Änderung der Standard-Authentifizierungsinformationen des Herstellers, wie z. B. Standard-Passwörter, unmittelbar nach der Installation und Überprüfung anderer wichtiger sicherheitsrelevanter Standard-Parameter; 
g) Inanspruchnahme von Time-Out-Einrichtungen, die Computergeräte nach einer bestimmten Zeit der Inaktivität automatisch abmelden; 
h) Überprüfung, ob die Lizenzanforderungen erfüllt wurden (siehe 5.32).
Verwaltung von Konfigurationen
Bestimmte Konfigurationen von Hardware, Software, Diensten und Netzwerken sollten aufgezeichnet werden, und es sollte ein Protokoll über alle Konfigurationsänderungen geführt werden. Diese Aufzeichnungen sollten sicher aufbewahrt werden. Dies kann auf verschiedene Weise geschehen, z. B. durch Konfigurationsdatenbanken oder Konfigurationsvorlagen. 
Änderungen an Konfigurationen sollten dem Änderungsmanagementprozess folgen (siehe 8.32). Konfigurationsaufzeichnungen können Folgendes
 enthalten
a) aktuelle Eigentümer- oder Kontaktinformationen für die Anlage; 
b) Datum der letzten Konfigurationsänderung; 
c) Version der Konfigurationsvorlage; 
d) Bezug zu Konfigurationen anderer Anlagen.
Überwachung von Konfigurationen
Konfigurationen sollten mit einem umfassenden Satz von Systemmanagement-Tools überwacht werden (z. B. Wartungsprogramme, Fernsupport, Unternehmensmanagement-Tools, Sicherungs- und Wiederherstellungssoftware) und regelmäßig überprüft werden, um die Konfigurationseinstellungen zu verifizieren, die Passwortstärke zu bewerten und die durchgeführten Aktivitäten zu beurteilen. Tatsächliche Konfigurationen können mit den definierten Zielvorlagen verglichen werden. Auf Abweichungen sollte reagiert werden, entweder durch automatische Durchsetzung der definierten Zielkonfiguration oder durch manuelle Analyse der Abweichung und anschließende Korrekturmaßnahmen.</t>
  </si>
  <si>
    <t>Allgemein
Sensible Informationen sollten nicht länger aufbewahrt werden, als es erforderlich ist, um das Risiko einer unerwünschten Offenlegung zu verringern.
Beim Löschen von Informationen in Systemen, Anwendungen und Diensten ist Folgendes zu beachten:
a) Auswahl einer Löschmethode (z. B. elektronisches Überschreiben oder kryptografisches Löschen) in Übereinstimmung mit den geschäftlichen Anforderungen und unter Berücksichtigung einschlägiger Gesetze und Vorschriften; 
b) Aufzeichnung der Ergebnisse der Löschung als Nachweis; 
c) bei Inanspruchnahme von Dienstleistern für die Informationslöschung Einholung eines Nachweises der Informationslöschung von diesen.
Wenn Dritte die Informationen der Organisation in ihrem Namen speichern, sollte die Organisation die Aufnahme von Anforderungen an die Informationslöschung in die Vereinbarungen mit Dritten in Betracht ziehen, um diese während und nach Beendigung solcher Dienste durchzusetzen.
Löschmethoden
In Übereinstimmung mit der themenspezifischen Richtlinie der Organisation zur Datenaufbewahrung und unter Berücksichtigung der einschlägigen Gesetze und Vorschriften sollten sensible Informationen gelöscht werden, wenn sie nicht mehr benötigt werden, indem:
a) Systeme so konfiguriert werden, dass Informationen sicher vernichtet werden, wenn sie nicht mehr benötigt werden (z. B. (z. B. 
nach einem bestimmten Zeitraum gemäß der themenspezifischen Richtlinie zur Datenaufbewahrung oder auf Antrag der betroffenen Person); 
b) Löschung veralteter Versionen, Kopien und temporärer Dateien, unabhängig davon, wo sie sich befinden; 
c) Verwendung zugelassener, sicherer Löschsoftware zur dauerhaften Löschung von Informationen, um sicherzustellen, dass die Informationen nicht mit Hilfe spezieller Wiederherstellungs- oder forensischer Hilfsmittel wiederhergestellt werden können; 
d) Inanspruchnahme zugelassener, zertifizierter Anbieter von sicheren Entsorgungsdiensten; 
e) Verwendung von Entsorgungsmechanismen, die für die Art der zu entsorgenden Speichermedien geeignet sind (z. B. Entmagnetisierung von Festplattenlaufwerken und anderen magnetischen Speichermedien).
Bei der Nutzung von Cloud-Diensten sollte die Organisation überprüfen, ob die vom Cloud-Anbieter angebotene Löschmethode akzeptabel ist, und wenn dies der Fall ist, sollte die Organisation sie nutzen oder den Cloud-Anbieter auffordern, die Informationen zu löschen. Diese Löschvorgänge sollten in Übereinstimmung mit den themenspezifischen Richtlinien automatisiert werden, sofern diese verfügbar und anwendbar sind. Je nach Sensibilität der gelöschten Informationen können Protokolle nachverfolgen oder nachweisen, dass diese Löschvorgänge stattgefunden haben.
Um zu vermeiden, dass sensible Informationen unbeabsichtigt preisgegeben werden, wenn die Geräte an die Lieferanten zurückgeschickt werden, sollten sensible Informationen durch das Entfernen von Zusatzspeichern (z. B. Festplatten) und Arbeitsspeichern geschützt werden, bevor die Geräte die Räumlichkeiten der Organisation verlassen.
In Anbetracht der Tatsache, dass die sichere Löschung einiger Geräte (z. B. Smartphones) nur durch Zerstörung oder durch Nutzung der in diese Geräte integrierten Funktionen (z. B. "Wiederherstellen der Werkseinstellungen") erreicht werden kann, sollte die Organisation die geeignete Methode entsprechend der Klassifizierung der mit diesen Geräten verarbeiteten Informationen wählen.
Die in Abschnitt 7.14 beschriebenen Kontrollmaßnahmen sollten angewendet werden, um das Speichermedium physisch zu zerstören und gleichzeitig die darin enthaltenen Informationen zu löschen.
Ein offizielles Protokoll über die Löschung der Informationen ist bei der Analyse der Ursache für ein mögliches Informationsleck nützlich.</t>
  </si>
  <si>
    <t>Wenn der Schutz sensibler Daten (z. B. PII) ein Anliegen ist, sollte die Organisation in Erwägung ziehen, solche Daten durch Techniken wie Datenmaskierung, Pseudonymisierung oder Anonymisierung zu verbergen.
Pseudonymisierungs- oder Anonymisierungstechniken können PII verbergen, die wahre Identität von PII-Hauptpersonen oder anderen sensiblen Informationen verschleiern und die Verbindung zwischen PII und der Identität der PII-Hauptperson oder die Verbindung zwischen anderen sensiblen Informationen aufheben. 
Bei der Verwendung von Pseudonymisierungs- oder Anonymisierungstechniken sollte überprüft werden, ob die Daten angemessen pseudonymisiert oder anonymisiert wurden. Die Datenanonymisierung sollte alle Elemente der sensiblen Informationen berücksichtigen, um wirksam zu sein. Wenn dies nicht der Fall ist, kann eine Person beispielsweise auch dann identifiziert werden, wenn die Daten, mit denen sie direkt identifiziert werden kann, anonymisiert werden, weil weitere Daten vorhanden sind, mit denen die Person indirekt identifiziert werden kann. 
Weitere Techniken zur Datenmaskierung sind: 
a) Verschlüsselung (autorisierte Benutzer müssen über einen Schlüssel verfügen); 
b) Löschen von Zeichen (um zu verhindern, dass unbefugte Benutzer vollständige Nachrichten sehen); 
c) Variieren von Zahlen und Daten; 
d) Substitution (Austausch eines Wertes gegen einen anderen, um sensible Daten zu verbergen); 
e) Ersetzen von Werten durch ihren Hash.
Bei der Implementierung von Datenmaskierungstechniken sollte Folgendes beachtet werden: 
a) nicht alle Benutzer können auf alle Daten zugreifen, daher sollten Abfragen und Masken so gestaltet werden, dass dem Benutzer nur die minimal erforderlichen Daten angezeigt werden; 
b) es gibt Fälle, in denen einige Daten für den Benutzer für einige Datensätze eines Datensatzes nicht sichtbar sein sollten; in diesem Fall sollte ein Mechanismus zur Verschleierung von Daten entworfen und implementiert werden (z. B. wenn ein Patient nicht möchte, dass das Krankenhauspersonal alle seine Aufzeichnungen sehen kann, selbst in Notfällen, dann werden dem Krankenhauspersonal teilweise verschleierte Daten präsentiert, und der Zugriff auf die Daten ist nur für Personal mit bestimmten Rollen möglich, wenn sie nützliche Informationen für eine angemessene Behandlung enthalten); 
c) wenn Daten verschleiert sind, wobei der Auftraggeber der PII die Möglichkeit hat, zu verlangen, dass die Nutzer nicht sehen können, ob die Daten verschleiert sind (Verschleierung der Verschleierung; dies wird beispielsweise in Gesundheitseinrichtungen verwendet, wenn der Patient nicht möchte, dass das Personal sieht, dass sensible Informationen wie Schwangerschaften oder Ergebnisse von Blutuntersuchungen verschleiert wurden); 
d) alle gesetzlichen oder behördlichen Anforderungen (z. B.z. B. die Anforderung, die Informationen von Zahlungskarten während der Verarbeitung oder Speicherung zu verschleiern).
Bei der Verwendung von Datenmaskierung, Pseudonymisierung oder Anonymisierung 
sollte Folgendes berücksichtigt werden: 
a) Stärke der Datenmaskierung, Pseudonymisierung oder Anonymisierung je nach Verwendung der verarbeiteten Daten; 
b) Zugangskontrollen zu den verarbeiteten Daten; 
c) Vereinbarungen oder Beschränkungen für die Verwendung der verarbeiteten Daten; 
d) Verbot der Zusammenführung der verarbeiteten Daten mit anderen Informationen, um den Auftraggeber der personenbezogenen Daten zu identifizieren; 
e) Verfolgung der Bereitstellung und des Empfangs der verarbeiteten Daten.</t>
  </si>
  <si>
    <t>Die Organisation sollte Folgendes in Betracht ziehen, um das Risiko von Datenlecks zu verringern:
a) Identifizierung und Klassifizierung von Informationen zum Schutz vor Datenlecks (z. B. personenbezogene Daten, Preismodelle und Produktdesigns); 
b) Überwachung der Kanäle für Datenlecks (z. B. E-Mail, Dateiübertragungen, mobile Geräte und tragbare Speichermedien); 
c) Maßnahmen zur Verhinderung von Datenlecks (z. B. Quarantäne von E-Mails mit sensiblen Informationen).
Tools zur Verhinderung von Datenlecks sollten eingesetzt werden, um: 
a) sensible Informationen zu identifizieren und zu überwachen, bei denen das Risiko einer unbefugten Offenlegung besteht (z. B. in unstrukturierten Daten auf dem System eines Benutzers); 
b) die Offenlegung sensibler Informationen zu erkennen (z. B. wenn Informationen auf nicht vertrauenswürdige Cloud-Dienste Dritter hochgeladen oder per E-Mail versendet werden); 
c) Benutzeraktionen oder Netzwerkübertragungen zu blockieren, die sensible Informationen preisgeben (z. B. das Kopieren von Datenbankeinträgen in eine Tabellenkalkulation zu verhindern).
Die Organisation sollte feststellen, ob es notwendig ist, die Fähigkeit eines Benutzers zum Kopieren und Einfügen oder Hochladen von Daten auf Dienste, Geräte und Speichermedien außerhalb der Organisation zu beschränken. Wenn dies der Fall ist, sollte die Organisation Technologien wie Tools zur Verhinderung von Datenlecks oder die Konfiguration bestehender Tools implementieren, die es den Benutzern ermöglichen, Daten aus der Ferne anzuzeigen und zu bearbeiten, aber das Kopieren und Einfügen außerhalb der Kontrolle der Organisation verhindern.
Wenn ein Datenexport erforderlich ist, sollte der Dateneigentümer den Export genehmigen und die Benutzer für ihre Handlungen zur Verantwortung ziehen können. Das Anfertigen von Screenshots oder Fotos des Bildschirms sollte durch Nutzungsbedingungen, Schulungen und Audits geregelt werden.
Bei der Sicherung von Daten sollte darauf geachtet werden, dass sensible Informationen durch Maßnahmen wie Verschlüsselung, Zugangskontrolle und physischen Schutz der Speichermedien, auf denen die Sicherung gespeichert ist, geschützt werden.
Die Verhinderung von Datenlecks sollte auch in Betracht gezogen werden, um zu verhindern, dass ein Gegner vertrauliche oder geheime Informationen (geopolitische, menschliche, finanzielle, kommerzielle, wissenschaftliche oder andere) erlangt, die für die Spionage von Interesse oder für die Gemeinschaft von entscheidender Bedeutung sein können. Die
Die Maßnahmen zur Verhinderung von Datenlecks sollten darauf ausgerichtet sein, die Entscheidungen des Gegners zu verwirren, indem beispielsweise authentische Informationen durch falsche Informationen ersetzt werden, entweder als eigenständige Maßnahme oder als Reaktion auf die nachrichtendienstlichen Maßnahmen des Gegners. Beispiele für diese Art von Maßnahmen sind Reverse Social Engineering oder die Verwendung von Honeypots, um Angreifer anzulocken.</t>
  </si>
  <si>
    <t>Es sollte eine themenspezifische Richtlinie für die Datensicherung erstellt werden, um die Anforderungen der Organisation an die Datenaufbewahrung und die Informationssicherheit zu erfüllen.
Es sollten angemessene Backup-Einrichtungen zur Verfügung gestellt werden, um sicherzustellen, dass alle wichtigen Informationen und Software nach einem Zwischenfall, Ausfall oder Verlust von Speichermedien wiederhergestellt werden können.
Es sollten Pläne entwickelt und umgesetzt werden, wie die Organisation Informationen, Software und Systeme sichern wird, um die themenspezifische Richtlinie zur Datensicherung zu erfüllen.
Beim Entwurf eines Sicherungsplans sollten folgende Punkte berücksichtigt werden:
a) Erstellung genauer und vollständiger Aufzeichnungen der Sicherungskopien und dokumentierter Wiederherstellungsverfahren; 
b) Berücksichtigung der geschäftlichen Anforderungen der Organisation (z.B. das Ziel des Wiederherstellungspunktes, siehe 5.30), der Sicherheitsanforderungen der betroffenen Informationen und der Kritikalität der Informationen für den weiteren Betrieb der Organisation im Umfang (z.B. Voll- oder differenzielle Sicherung) und der Häufigkeit der Sicherung. (z.B. 
vollständige oder differenzielle Sicherung) und Häufigkeit der Sicherungen; 
c) Aufbewahrung der Sicherungen an einem sicheren, abgelegenen Ort, der weit genug entfernt ist, um bei einer Katastrophe am Hauptstandort nicht beschädigt zu werden; 
d) Gewährleistung eines angemessenen physischen und umgebungsbedingten Schutzes der Sicherungsdaten (siehe Abschnitt 7 und 8.1), der mit den am Hauptstandort angewandten Standards übereinstimmt; 
e) regelmäßiges Testen der Sicherungsmedien, um sicherzustellen, dass im Notfall auf sie zurückgegriffen werden kann. Prüfung der Fähigkeit, gesicherte Daten auf einem Testsystem wiederherzustellen, nicht durch Überschreiben der ursprünglichen Speichermedien für den Fall, dass der Sicherungs- oder Wiederherstellungsprozess fehlschlägt und irreparable Datenschäden oder -verluste verursacht; 
f) Schutz der Sicherungen durch Verschlüsselung entsprechend den ermittelten Risiken (z. B. in Situationen, in denen Vertraulichkeit von Bedeutung ist); 
g) Sicherstellung, dass ein unbeabsichtigter Datenverlust erkannt wird, bevor die Sicherung durchgeführt wird.
Betriebliche Verfahren sollten die Durchführung von Backups überwachen und Ausfälle geplanter Backups beheben, um die Vollständigkeit der Backups gemäß der themenspezifischen Richtlinie für Backups zu gewährleisten.
Die Sicherungsmaßnahmen für einzelne Systeme und Dienste sollten regelmäßig getestet werden, um sicherzustellen, dass sie den Zielen der Notfall- und Geschäftskontinuitätspläne entsprechen (siehe 5.30). Dies sollte mit einem Test der Wiederherstellungsverfahren kombiniert und mit der im Business-Continuity-Plan geforderten Wiederherstellungszeit abgeglichen werden. Bei kritischen Systemen und Diensten sollten die Sicherungsmaßnahmen alle Systeminformationen, Anwendungen und Daten abdecken, die zur Wiederherstellung des gesamten Systems im Katastrophenfall erforderlich sind.
Wenn die Organisation einen Cloud-Service nutzt, sollten Sicherungskopien der Informationen, Anwendungen und Systeme der Organisation in der Cloud-Service-Umgebung erstellt werden. Die Organisation sollte bestimmen, ob und wie die Anforderungen an die Datensicherung erfüllt werden, wenn sie den als Teil des Cloud-Dienstes bereitgestellten Datensicherungsdienst nutzt.
Die Aufbewahrungsfrist für wesentliche Geschäftsinformationen sollte festgelegt werden, wobei alle Anforderungen an die Aufbewahrung von Archivkopien zu berücksichtigen sind. Die Organisation sollte die Löschung von Informationen (siehe 8.10) auf Speichermedien, die für die Datensicherung verwendet werden, nach Ablauf der Aufbewahrungsfrist in Betracht ziehen und dabei Gesetze und Vorschriften berücksichtigen.</t>
  </si>
  <si>
    <t>Die Organisation sollte die Anforderungen an die Verfügbarkeit von Geschäftsdiensten und Informationssystemen ermitteln. Die Organisation sollte eine Systemarchitektur mit angemessener Redundanz entwickeln und implementieren, um diese Anforderungen zu erfüllen.
Redundanz kann durch die teilweise oder vollständige Duplizierung von Informationsverarbeitungseinrichtungen erreicht werden (d.h. Ersatzkomponenten oder zwei von allem). Die Organisation sollte Verfahren für die Aktivierung der redundanten Komponenten und Verarbeitungseinrichtungen planen und umsetzen. In den Verfahren sollte festgelegt werden, ob die redundanten Komponenten und Verarbeitungsaktivitäten immer aktiviert werden oder ob sie in Notfällen automatisch oder manuell aktiviert werden. Die redundanten Komponenten und Informationsverarbeitungseinrichtungen sollten die gleiche Sicherheitsstufe gewährleisten wie die primären.
Es sollten Mechanismen vorhanden sein, die die Organisation bei einem Ausfall der Informationsverarbeitungseinrichtungen warnen, die Durchführung des geplanten Verfahrens ermöglichen und die fortgesetzte Verfügbarkeit erlauben, während die Informationsverarbeitungseinrichtungen repariert oder ersetzt werden.
Die Organisation sollte bei der Implementierung redundanter Systeme Folgendes in Betracht ziehen: 
a) Abschluss von Verträgen mit zwei oder mehr Anbietern von Netzwerken und kritischen Informationsverarbeitungseinrichtungen, wie z. B. Internetdienstanbietern; 
b) Verwendung redundanter Netzwerke; 
c) Verwendung von zwei geografisch getrennten Datenzentren mit gespiegelten Systemen; 
d) Verwendung physisch redundanter Stromversorgungen oder -quellen; 
e) Verwendung mehrerer paralleler Instanzen von Softwarekomponenten mit automatischem Lastausgleich zwischen ihnen (zwischen Instanzen im selben Datenzentrum oder in verschiedenen Datenzentren); 
f) Verwendung duplizierter Komponenten in Systemen (z. B. CPU, Festplatten
z. B. CPU, Festplatten, Speicher) oder in Netzen (z. B. Firewalls, Router, Switches).
Gegebenenfalls, vorzugsweise im Produktionsbetrieb, sollten redundante Informationssysteme getestet werden, um sicherzustellen, dass der Failover von einer Komponente auf eine andere Komponente wie vorgesehen funktioniert.</t>
  </si>
  <si>
    <t>Allgemein
Die Organisation sollte festlegen, zu welchem Zweck Protokolle erstellt werden, welche Daten gesammelt und protokolliert werden und welche protokollspezifischen Anforderungen zum Schutz und zur Handhabung der Protokolldaten bestehen. Dies sollte in einer themenspezifischen Richtlinie zur Protokollierung dokumentiert werden. 
Ereignisprotokolle sollten für jedes Ereignis Folgendes enthalten: 
a) Benutzerkennungen; 
b) Systemaktivitäten; 
c) Datum, Uhrzeit und Einzelheiten zu relevanten Ereignissen (z. B. An- und Abmeldung); 
d) Geräteidentität, Systemkennung und Standort; 
e) Netzwerkadressen und -protokolle.
Folgende Ereignisse sollten für die Protokollierung in Betracht gezogen werden: 
a) erfolgreiche und abgewiesene Systemzugriffsversuche; 
b) erfolgreiche und abgewiesene Daten- und andere Ressourcenzugriffsversuche; 
c) Änderungen der Systemkonfiguration; 
d) Nutzung von Berechtigungen; 
e) Nutzung von Hilfsprogrammen und -anwendungen; 
f) Dateien, auf die zugegriffen wurde, und die Art des Zugriffs, einschließlich des Löschens wichtiger Datendateien; 
g) Alarme, die vom Zugangskontrollsystem ausgelöst wurden; 
h) Aktivierung und Deaktivierung von Sicherheitssystemen, wie z. B. Antivirensysteme und Systeme zur Erkennung von Eindringlingen;
i) Erstellung, Änderung oder Löschung von Identitäten; 
j) Transaktionen, die von Benutzern in Anwendungen ausgeführt werden. In einigen Fällen handelt es sich bei den Anwendungen um einen Dienst oder ein Produkt, das von einem Dritten bereitgestellt oder betrieben wird.
Es ist wichtig, dass alle Systeme über synchronisierte Zeitquellen verfügen (siehe 8.17), da dies die Korrelation von Protokollen zwischen Systemen zur Analyse, Alarmierung und Untersuchung eines Vorfalls ermöglicht.
Schutz von Protokollen
Benutzer, einschließlich solcher mit privilegierten Zugriffsrechten, sollten nicht die Erlaubnis haben, Protokolle ihrer eigenen Aktivitäten zu löschen oder zu deaktivieren. Sie können die Protokolle von Informationsverarbeitungsanlagen, die ihrer direkten Kontrolle unterliegen, potenziell manipulieren. Daher ist es notwendig, die Protokolle zu schützen und zu überprüfen, um die Rechenschaftspflicht gegenüber den privilegierten Benutzern aufrechtzuerhalten.
Die Kontrollen sollten darauf abzielen, unbefugte Änderungen an den Protokolldaten und betriebliche Probleme mit der Protokollierungseinrichtung zu verhindern, wie z. B.: 
a) Änderungen der aufgezeichneten Nachrichtentypen; 
b) Bearbeitung oder Löschung von Protokolldateien; 
c) Nichtaufzeichnung von Ereignissen oder Überschreiben bereits aufgezeichneter Ereignisse, wenn der Speicherplatz für eine Protokolldatei überschritten wird.
Zum Schutz der Protokolle sollten 
folgende Techniken in Betracht gezogen werden: kryptografisches Hashing, Aufzeichnung in einer Datei, die nur Anhänge enthält und nur lesbar ist, Aufzeichnung in einer öffentlichen Transparenzdatei. 
Einige Audit-Protokolle können aufgrund von Anforderungen zur Datenaufbewahrung oder zur Sammlung und Aufbewahrung von Beweisen archiviert werden müssen (siehe 5.28).
Wenn die Organisation System- oder Anwendungsprotokolle an einen Anbieter senden muss, um bei der Fehlersuche oder -behebung zu helfen, sollten die Protokolle vor dem Versand an den Anbieter nach Möglichkeit durch Datenmaskierungstechniken (siehe 8.11) von Informationen wie Benutzernamen, Internetprotokoll (IP)-Adressen, Hostnamen oder Organisationsnamen de-identifiziert werden.
Ereignisprotokolle können sensible Daten und persönlich identifizierbare Informationen enthalten. Es sollten 
geeignete Maßnahmen zum Schutz der Privatsphäre getroffen werden (siehe 5.34).
Log-Analyse
Die Log-Analyse sollte die Analyse und Interpretation von Informationssicherheitsereignissen umfassen, um ungewöhnliche Aktivitäten oder anomales Verhalten zu erkennen, die Anzeichen für eine Kompromittierung darstellen können.
Bei der Analyse von Ereignissen sollte folgendes berücksichtigt werden: 
a) die erforderlichen Fähigkeiten der Experten, die die Analyse durchführen; 
b) die Festlegung des Verfahrens der Protokollanalyse; 
c) die erforderlichen Attribute jedes sicherheitsrelevanten Ereignisses; 
d) Ausnahmen, die durch die Verwendung vorher festgelegter Regeln [z.B. 
Security Information and Event Management (SIEM) oder Firewall-Regeln und Intrusion Detection Systems (IDS) oder Malware-Signaturen]; 
e) bekannte Verhaltensmuster und Standard-Netzverkehr im Vergleich zu anomalen Aktivitäten und Verhaltensweisen [User and Entity Behaviour Analytics (UEBA)]; 
f) Ergebnisse von Trend- oder Musteranalysen (z. B. als Ergebnis der Verwendung von Datenanalysen, Big-Data-Techniken und spezialisierten Analysetools); 
g) verfügbare Bedrohungsdaten.
Die Protokollanalyse sollte durch spezifische Überwachungsmaßnahmen unterstützt werden, um anomales Verhalten zu erkennen und zu analysieren. Dazu gehören: 
a) Überprüfung erfolgreicher und erfolgloser Versuche, auf geschützte Ressourcen zuzugreifen [z. B. Domain Name System (DNS)-Server, Webportale und Dateifreigaben]; 
b) Überprüfung von DNS-Protokollen, um ausgehende Netzwerkverbindungen zu bösartigen Servern zu erkennen, wie z. B. solche, die mit Botnetz-Befehls- und Kontrollservern verbunden sind; 
c) Prüfung von Nutzungsberichten von Dienstanbietern (z. B. Rechnungen oder Serviceberichte).c) Prüfung von Nutzungsberichten von Dienstanbietern (z. B. 
Rechnungen oder Serviceberichte) auf ungewöhnliche Aktivitäten innerhalb von Systemen und Netzwerken (z. B. durch Überprüfung von Aktivitätsmustern); 
d) Einbeziehung von Ereignisprotokollen der physischen Überwachung wie Ein- und Ausgänge, um eine genauere Erkennung und Analyse von Vorfällen zu gewährleisten; 
e) Korrelation von Protokollen, um eine effiziente und äußerst genaue Analyse zu ermöglichen.
Vermutete und tatsächliche Informationssicherheitsvorfälle sollten identifiziert werden (z.B. Infektion mit Malware oder Sondierung von Firewalls) und Gegenstand weiterer Untersuchungen sein (z.B. im Rahmen eines Informationssicherheitsvorfall-Managementprozesses, siehe 5.25).</t>
  </si>
  <si>
    <t>Umfang und Niveau der Überwachung sollten in Übereinstimmung mit den Geschäfts- und Informationssicherheitsanforderungen und unter Berücksichtigung der einschlägigen Gesetze und Vorschriften festgelegt werden. Die Überwachungsaufzeichnungen sollten für festgelegte Aufbewahrungszeiträume aufbewahrt werden.
Folgendes sollte für die Aufnahme in das Überwachungssystem in Betracht gezogen werden: 
a) ausgehender und eingehender Netzwerk-, System- und Anwendungsverkehr; 
b) Zugang zu Systemen, Servern, Netzwerkgeräten, Überwachungssystemen, kritischen Anwendungen usw.; 
c) System- und Netzwerkkonfigurationsdateien auf kritischer oder administrativer Ebene; 
d) Protokolle von Sicherheitstools [z. B. d) Protokolle von Sicherheitswerkzeugen [z. B. 
Antivirus, IDS, Intrusion Prevention System (IPS), Webfilter, Firewalls, Data Leakage Prevention]; 
e) Ereignisprotokolle zu System- und Netzaktivitäten; 
f) Überprüfung, ob der ausgeführte Code im System ausgeführt werden darf und ob er nicht manipuliert wurde (z. B. durch Neukompilierung, um zusätzlichen unerwünschten Code hinzuzufügen); 
g) Nutzung der Ressourcen (z. B. CPU, Festplatten, Speicher, Bandbreite) und deren Leistung.
Die Organisation sollte eine Basislinie für das normale Verhalten festlegen und anhand dieser Basislinie auf Anomalien überwachen. Bei der Festlegung einer Baseline sollte Folgendes berücksichtigt werden: 
a) Überprüfung der Systemauslastung zu normalen Zeiten und zu Spitzenzeiten; 
b) übliche Zugriffszeit, Ort des Zugriffs, Häufigkeit des Zugriffs für jeden Benutzer oder jede Benutzergruppe.
Das Überwachungssystem sollte anhand der festgelegten Grundlinie konfiguriert werden, um anomales Verhalten zu erkennen, wie z. B.: 
a) ungeplante Beendigung von Prozessen oder Anwendungen; 
b) Aktivitäten, die typischerweise mit Malware oder Datenverkehr in Verbindung gebracht werden, der von bekannten bösartigen IP-Adressen oder Netzwerkdomänen ausgeht (z. B. solchen, die mit Botnetz-Befehls- und Kontrollservern in Verbindung stehen); 
c) bekannte Angriffsmerkmale (z. B. Denial-of-Service und Pufferüberläufe); 
d) ungewöhnliches Systemverhalten (z. B.d) ungewöhnliches Systemverhalten (z. B. 
Keystroke Logging, Process Injection und Abweichungen bei der Verwendung von Standardprotokollen); 
e) Engpässe und Überlastungen (z. B. Netzwerk-Warteschlangen, Latenzzeiten und Netzwerk-Jitter); 
f) unbefugter (tatsächlicher oder versuchter) Zugriff auf Systeme oder Informationen; 
g) unbefugtes Scannen von Geschäftsanwendungen, Systemen und Netzwerken; 
h) erfolgreiche und erfolglose Versuche, auf geschützte Ressourcen zuzugreifen (z. B. DNS-Server, Webportale und Dateisysteme);
i) ungewöhnliches Benutzer- und Systemverhalten im Verhältnis zum erwarteten Verhalten.
Es sollte eine kontinuierliche Überwachung mit Hilfe eines Überwachungswerkzeugs durchgeführt werden. Die Überwachung sollte in Echtzeit oder in regelmäßigen Abständen erfolgen, je nach Bedarf und Möglichkeiten des Unternehmens. Die Überwachungswerkzeuge sollten in der Lage sein, große Datenmengen zu verarbeiten, sich an eine sich ständig verändernde Bedrohungslandschaft anzupassen und eine Benachrichtigung in Echtzeit zu ermöglichen. Die Tools sollten auch in der Lage sein, bestimmte Signaturen und Daten oder Verhaltensmuster von Netzwerken oder Anwendungen zu erkennen.
Automatisierte Überwachungssoftware sollte so konfiguriert sein, dass sie Warnmeldungen (z. B. über Verwaltungskonsolen, E-Mail-Nachrichten oder Instant-Messaging-Systeme) auf der Grundlage vordefinierter Schwellenwerte erzeugt. Das Warnsystem sollte auf die Ausgangslage des Unternehmens abgestimmt und trainiert werden, um Fehlalarme zu minimieren. Das 
Personal sollte auf Warnungen reagieren und entsprechend geschult sein, um potenzielle Vorfälle richtig zu interpretieren. Es sollten redundante Systeme und Prozesse vorhanden sein, um Warnmeldungen zu empfangen und darauf zu reagieren.
Ungewöhnliche Ereignisse sollten den betroffenen Parteien mitgeteilt werden, um die folgenden Aktivitäten zu verbessern: Auditing, Sicherheitsbewertung, Schwachstellen-Scanning und Überwachung (siehe 5.25). Es sollen Verfahren vorhanden sein, um auf positive Indikatoren des Überwachungssystems rechtzeitig zu reagieren, um die Auswirkungen negativer Ereignisse (siehe 5.26) auf die Informationssicherheit zu minimieren. Es sollten auch Verfahren zur Erkennung und Behebung von Fehlalarmen eingeführt werden, einschließlich der Einstellung der Überwachungssoftware, um die Anzahl der künftigen Fehlalarme zu verringern.</t>
  </si>
  <si>
    <t>Externe und interne Anforderungen an Zeitdarstellung, zuverlässige Synchronisation und Genauigkeit sollten dokumentiert und umgesetzt werden. Solche Anforderungen können sich aus rechtlichen, gesetzlichen, regulatorischen, vertraglichen, normativen und internen Überwachungserfordernissen ergeben. Eine Standardreferenzzeit für die Verwendung innerhalb der Organisation sollte für alle Systeme definiert und berücksichtigt werden, einschließlich Gebäudemanagementsysteme, Eingangs- und Ausgangssysteme und andere, die zur Unterstützung von Ermittlungen verwendet werden können.
Als Referenzuhr für die Protokollierungssysteme sollte eine Uhr verwendet werden, die mit einer per Funk ausgestrahlten nationalen Atomuhr oder einem globalen Positionierungssystem (GPS) verbunden ist; eine konsistente, vertrauenswürdige Datums- und Zeitquelle, die genaue Zeitstempel gewährleistet. Protokolle wie das Network Time Protocol (NTP) oder das Precision Time Protocol (PTP) sollten verwendet werden, um alle vernetzten Systeme mit einer Referenzuhr zu synchronisieren.
Die Organisation kann zwei externe Zeitquellen gleichzeitig verwenden, um die Zuverlässigkeit der externen Uhren zu verbessern und Abweichungen angemessen zu verwalten.
Die Synchronisierung der Uhr kann sich als schwierig erweisen, wenn mehrere Cloud-Dienste oder sowohl Cloud- als auch On-Premises-Dienste genutzt werden. In diesem Fall sollte 
die Uhr jedes Dienstes überwacht und die Differenz aufgezeichnet werden, um Risiken aufgrund von Diskrepanzen zu mindern.</t>
  </si>
  <si>
    <t>Die folgenden Richtlinien für die Verwendung von Hilfsprogrammen, die System- und Anwendungskontrollen außer Kraft setzen können, sollten berücksichtigt werden:
a) Beschränkung der Nutzung von Hilfsprogrammen auf eine möglichst geringe Anzahl vertrauenswürdiger, autorisierter Benutzer 
(siehe 8.2); 
b) Verwendung von Identifizierungs-, Authentifizierungs- und Autorisierungsverfahren für Hilfsprogramme, einschließlich einer eindeutigen Identifizierung der Person, die das Hilfsprogramm nutzt; 
c) Festlegung und Dokumentation von Autorisierungsebenen für Hilfsprogramme; 
d) Autorisierung der Ad-hoc-Nutzung von Hilfsprogrammen; 
e) keine Bereitstellung von Hilfsprogrammen für Benutzer, die Zugriff auf Anwendungen auf Systemen haben, auf denen eine Aufgabentrennung erforderlich ist; 
f) Entfernung oder Deaktivierung aller unnötigen Hilfsprogramme; 
g) zumindest logische Trennung von Hilfsprogrammen und Anwendungssoftware. Wenn möglich, Trennung der Netzwerkkommunikation für solche Programme vom Anwendungsverkehr; 
h) Begrenzung der Verfügbarkeit von Hilfsprogrammen (z. B. für die Dauer einer autorisierten Änderung);
i) Protokollierung der gesamten Nutzung von Hilfsprogrammen.</t>
  </si>
  <si>
    <t>Die folgenden Richtlinien sollten berücksichtigt werden, um Änderungen und Installationen von Software auf operativen Systemen sicher zu verwalten:
a) Durchführung von Aktualisierungen der Betriebssoftware nur durch geschulte Administratoren nach entsprechender Autorisierung durch das Management (siehe 8.5); 
b) Sicherstellung, dass nur genehmigter ausführbarer Code und kein Entwicklungscode oder Compiler auf den Betriebssystemen installiert wird; 
c) Installation und Aktualisierung von Software nur nach umfangreichen und erfolgreichen Tests (siehe 8.29 und 8.31); 
d) Aktualisierung aller zugehörigen Programmquellbibliotheken; 
e) Verwendung eines Konfigurationskontrollsystems, um die Kontrolle über die gesamte Betriebssoftware sowie die Systemdokumentation zu behalten; 
f) Festlegung einer Rollback-Strategie, bevor Änderungen implementiert werden; 
g) Führung eines Audit-Protokolls über alle Aktualisierungen der Betriebssoftware; 
h) Archivierung alter Softwareversionen zusammen mit allen erforderlichen Informationen und Parametern, Verfahren, Konfigurationsdetails und unterstützender Software als Notfallmaßnahme und solange die Software archivierte Daten lesen oder verarbeiten muss.
Bei jeder Entscheidung für ein Upgrade auf eine neue Version sollten die geschäftlichen Anforderungen für die Änderung und die Sicherheit der neuen Version berücksichtigt werden (z. B. die Einführung neuer Funktionen für die Informationssicherheit oder die Anzahl und Schwere der Schwachstellen für die Informationssicherheit, die die aktuelle Version betreffen). Software-Patches sollten angewendet werden, wenn sie dazu beitragen können, Schwachstellen in der Informationssicherheit zu beseitigen oder zu verringern (siehe 8.8 und 8.19).
Computersoftware kann sich auf extern gelieferte Software und Pakete stützen (z. B. Softwareprogramme mit Modulen, die auf externen Websites gehostet werden), die überwacht und kontrolliert werden sollten, um unbefugte Änderungen zu vermeiden, da sie Schwachstellen in der Informationssicherheit verursachen können.
Software von Anbietern, die in operativen Systemen verwendet wird, sollte auf einem Niveau gepflegt werden, das vom Anbieter unterstützt wird. Im Laufe der Zeit werden Softwareanbieter die Unterstützung älterer Softwareversionen einstellen. Die Organisation sollte die Risiken berücksichtigen, die entstehen, wenn sie sich auf nicht unterstützte Software verlässt. Open-Source-Software, die in betrieblichen Systemen verwendet wird, sollte bis zur letzten geeigneten Version der Software gewartet werden. Im Laufe der Zeit kann es vorkommen, dass Open-Source-Code nicht mehr gewartet wird, aber immer noch in einem Open-Source-Software-Repository verfügbar ist. Die Organisation sollte auch die Risiken bedenken, die entstehen, wenn sie sich auf nicht gewartete Open-Source-Software verlässt, die in betrieblichen Systemen eingesetzt wird.
Wenn Lieferanten an der Installation oder Aktualisierung von Software beteiligt sind, sollte der physische oder logische Zugriff nur bei Bedarf und mit entsprechender Genehmigung erfolgen. Die 
Aktivitäten des Lieferanten sollten überwacht werden (siehe 5.22).
Die Organisation sollte strenge Regeln dafür festlegen und durchsetzen, welche Arten von Software die Benutzer installieren dürfen.
Bei der Installation von Software auf Betriebssystemen sollte 
das Prinzip der geringsten Berechtigung angewendet werden. Die Organisation soll festlegen, welche Arten von Software-Installationen erlaubt sind (z. B. Updates und Sicherheits-Patches für bestehende Software) und welche Arten von Installationen verboten sind (z. B. Software, die nur für den persönlichen Gebrauch bestimmt ist, und Software, deren Herkunft im Hinblick auf potenzielle Schädlichkeit unbekannt oder verdächtig ist). Diese Berechtigungen sollten auf der Grundlage der Rollen der betreffenden Benutzer gewährt werden.</t>
  </si>
  <si>
    <t>Es sollten Kontrollen eingeführt werden, um die Sicherheit von Informationen in Netzen zu gewährleisten und die angeschlossenen Dienste vor unbefugtem Zugriff zu schützen. Insbesondere sollten die folgenden Punkte berücksichtigt werden:
a) die Art und der Geheimhaltungsgrad der Informationen, die das Netz unterstützen kann; 
b) die Festlegung von Zuständigkeiten und Verfahren für die Verwaltung der Netzausrüstung und der Geräte; 
c) die Pflege einer aktuellen Dokumentation, einschließlich der Netzpläne und Konfigurationsdateien der Geräte (z. B. Router, Switches); 
d) gegebenenfalls die Trennung der betrieblichen Verantwortung für die Netze vom Betrieb der IKT-Systeme 
(siehe 5.3); 
e) die Festlegung von Kontrollen zur Sicherung der Vertraulichkeit und Integrität von Daten, die über öffentliche Netze, Netze Dritter oder über drahtlose Netze übertragen werden, und zum Schutz der angeschlossenen Systeme und Anwendungen (siehe 5.22, 8.24, 5.14 und 6.6). Zusätzliche Kontrollen können auch erforderlich sein, um die Verfügbarkeit der Netzdienste und der an das Netz angeschlossenen Computer aufrechtzuerhalten; 
f) angemessene Protokollierung und Überwachung, um die Aufzeichnung und Erkennung von Aktionen zu ermöglichen, die sich auf die Informationssicherheit auswirken können oder für diese relevant sind (siehe 8.16 und 8.15); 
g) enge Koordinierung der Netzmanagementaktivitäten, um sowohl den Dienst für die Organisation zu optimieren als auch sicherzustellen, dass die Kontrollen in der gesamten Informationsverarbeitungsinfrastruktur einheitlich angewendet werden; 
h) Authentifizierung der Systeme im Netz;
i) Einschränkung und Filterung der Verbindung von Systemen mit dem Netz (z. B. durch Firewalls); 
j) Erkennung, Einschränkung und Authentifizierung der Verbindung von Anlagen und Geräten mit dem Netz; 
k) Härtung von Netzgeräten; 
l) Trennung der Netzverwaltungskanäle vom übrigen Netzverkehr; 
m) vorübergehende Isolierung kritischer Teilnetze (z. B. mit Zugbrücken), wenn das Netz angegriffen wird; 
n) Deaktivierung anfälliger Netzprotokolle.
Die Organisation sollte sicherstellen, dass geeignete Sicherheitskontrollen auf die Nutzung virtualisierter Netzwerke angewendet werden. Virtualisierte Netzwerke umfassen auch softwaredefinierte Netzwerke (SDN, SD-WAN). Virtualisierte Netzwerke können unter Sicherheitsaspekten wünschenswert sein, da sie eine logische Trennung der über physische Netzwerke stattfindenden Kommunikation ermöglichen, insbesondere bei Systemen und Anwendungen, die mit verteilter Datenverarbeitung implementiert werden.</t>
  </si>
  <si>
    <t>Die für bestimmte Dienste erforderlichen Sicherheitsmaßnahmen, wie z. B. Sicherheitsmerkmale, Dienstgüte und Dienstanforderungen, sollten ermittelt und (von internen oder externen Netzdienstleistern) umgesetzt werden. Die Organisation soll sicherstellen, dass die Netzdienstleister diese Maßnahmen umsetzen.
Die Fähigkeit des Netzdienstleisters, die vereinbarten Dienste sicher zu verwalten, ist zu ermitteln und regelmäßig zu überwachen. Das Recht auf Audits sollte zwischen der Organisation und dem Anbieter vereinbart werden. Die Organisation sollte auch Bescheinigungen Dritter in Betracht ziehen, die von Dienstanbietern vorgelegt werden, um nachzuweisen, dass sie angemessene Sicherheitsmaßnahmen aufrechterhalten.
Es sollten Regeln für die Nutzung von Netzwerken und Netzwerkdiensten formuliert und umgesetzt werden, die Folgendes abdecken: 
a) die Netzwerke und Netzwerkdienste, auf die zugegriffen werden darf; 
b) Authentifizierungsanforderungen für den Zugriff auf verschiedene Netzwerkdienste; 
c) Autorisierungsverfahren, um zu bestimmen, wer auf welche Netzwerke und Netzwerkdienste zugreifen darf; 
d) Netzwerkmanagement und technologische Kontrollen und Verfahren zum Schutz des Zugriffs auf Netzwerkverbindungen und Netzwerkdienste; 
e) die für den Zugriff auf Netzwerke und Netzwerkdienste verwendeten Mittel [z. B.
z. B. Verwendung eines virtuellen privaten Netzes (VPN) oder eines drahtlosen Netzes]; 
f) Zeit, Standort und andere Attribute des Benutzers zum Zeitpunkt des Zugangs; 
g) Überwachung der Nutzung von Netzdiensten.
Die folgenden Sicherheitsmerkmale von Netzdiensten sollten berücksichtigt werden: 
a) die für die Sicherheit von Netzdiensten angewandte Technologie, wie Authentifizierung, Verschlüsselung und Netzverbindungskontrollen; 
b) die technischen Parameter, die für eine gesicherte Verbindung mit den Netzdiensten gemäß den Sicherheits- und Netzverbindungsregeln erforderlich sind; 
c) die Zwischenspeicherung (z. B. in einem Netz für die Bereitstellung von Inhalten) und ihre Parameter, die es den Nutzern ermöglichen, die Verwendung der Zwischenspeicherung entsprechend den Anforderungen an Leistung, Verfügbarkeit und Vertraulichkeit zu wählen; 
d) Verfahren für die Nutzung von Netzdiensten, um den Zugang zu Netzdiensten oder Anwendungen erforderlichenfalls zu beschränken.</t>
  </si>
  <si>
    <t>Die Organisation sollte in Erwägung ziehen, die Sicherheit großer Netze zu verwalten, indem sie diese in separate Netzdomänen aufteilt und vom öffentlichen Netz (d.h. dem Internet) trennt. Die Domänen können nach dem Grad des Vertrauens, der Kritikalität und der Sensibilität (z. B. Domäne für den öffentlichen Zugang, Desktop-Domäne, Server-Domäne, Systeme mit niedrigem und hohem Risiko), nach Organisationseinheiten (z. B. Personalwesen, Finanzen, Marketing) oder einer Kombination davon (z. B. Server-Domäne mit Verbindung zu mehreren Organisationseinheiten) ausgewählt werden. Die Trennung kann entweder über physisch unterschiedliche Netze oder über unterschiedliche logische Netze erfolgen.
Die Grenzen der einzelnen Domänen sollten klar definiert sein. Wenn der Zugang zwischen Netzwerkdomänen erlaubt ist, sollte er an der Grenze mit Hilfe eines Gateways (z. B. Firewall, Filterrouter) kontrolliert werden. Die Kriterien für die Aufteilung 
der Netze in Domänen und der durch die Gateways erlaubte Zugang sollten auf einer Bewertung der Sicherheitsanforderungen jeder Domäne beruhen. Die Bewertung sollte in Übereinstimmung mit der themenspezifischen Politik zur Zugangskontrolle (siehe 5.15), den Zugangsanforderungen, dem Wert und der Klassifizierung der verarbeiteten Informationen erfolgen und die relativen Kosten und Leistungsauswirkungen der Einbeziehung einer geeigneten Gateway-Technologie berücksichtigen.
Drahtlose Netze bedürfen aufgrund der unzureichend definierten Netzabgrenzung 
einer besonderen Behandlung. Die Anpassung der Funkabdeckung sollte für die Abtrennung drahtloser Netze in Betracht gezogen werden. In sensiblen Umgebungen sollte in Erwägung gezogen werden, alle drahtlosen Zugänge als externe Verbindungen zu behandeln und diesen Zugang von den internen Netzen zu trennen, bis der Zugang ein Gateway in Übereinstimmung mit den Netzkontrollen (siehe 8.20) passiert hat, bevor der Zugang zu internen Systemen gewährt wird. Drahtlose Zugangsnetze für Gäste sollten von denen für das Personal getrennt werden, wenn das Personal nur kontrollierte Benutzerendgeräte verwendet, die mit den themenspezifischen Richtlinien der Organisation übereinstimmen. WiFi für Gäste sollte mindestens die gleichen Beschränkungen haben wie WiFi für Mitarbeiter, um die Nutzung von Gast-WiFi durch Mitarbeiter zu verhindern.</t>
  </si>
  <si>
    <t>Die Organisation sollte das Risiko verringern, dass ihre Mitarbeiter auf Websites zugreifen, die illegale Informationen enthalten oder dafür bekannt sind, dass sie Viren oder Phishing-Material enthalten. Eine Technik, um dies zu erreichen, besteht darin, die IP-Adresse oder die Domäne der betreffenden Website(s) zu blockieren. Einige Browser und Anti-Malware-Technologien tun dies automatisch oder können entsprechend konfiguriert werden.
Die Organisation sollte festlegen, auf welche Arten von Websites die Mitarbeiter Zugriff haben sollten und auf welche nicht. Die Organisation sollte in Erwägung ziehen, den Zugang zu folgenden Arten von Websites zu sperren: 
a) Websites, die eine Funktion zum Hochladen von Informationen haben, es sei denn, dies ist aus triftigen geschäftlichen Gründen erlaubt; 
b) bekannte oder mutmaßlich bösartige Websites (z. B. solche, die Malware oder Phishing-Inhalte verbreiten); 
c) Befehls- und Kontrollserver; 
d) bösartige Websites, die aus Bedrohungsdaten gewonnen wurden (siehe 5.7); 
e) Websites, die illegale Inhalte verbreiten.
Bevor diese Kontrolle eingeführt wird, sollte die Organisation Regeln für die sichere und angemessene Nutzung von Online-Ressourcen aufstellen, einschließlich der Beschränkung auf unerwünschte oder ungeeignete Websites und webbasierte Anwendungen. Die 
Regeln sollten auf dem neuesten Stand gehalten werden.
Das Personal sollte in der sicheren und angemessenen Nutzung von Online-Ressourcen, einschließlich des Zugangs zum Internet, 
geschult werden. Die Schulung sollte die Regeln der Organisation, die Kontaktstelle für die Meldung von Sicherheitsbedenken und das Ausnahmeverfahren für den Fall umfassen, dass der Zugriff auf eingeschränkte Webressourcen aus legitimen geschäftlichen Gründen erforderlich ist. Die Mitarbeiter sollten auch darin geschult werden, dass sie sich nicht über Browser-Hinweise hinwegsetzen, die melden, dass eine Website nicht sicher ist, und dem Benutzer dennoch erlauben, fortzufahren.</t>
  </si>
  <si>
    <t>Allgemein
Beim Einsatz von Kryptographie ist folgendes zu beachten:
a) die von der Organisation festgelegte themenspezifische Kryptographiepolitik, einschließlich der allgemeinen Grundsätze für den Schutz von Informationen. Eine themenspezifische Politik für den Einsatz von Kryptographie ist notwendig, um den Nutzen zu maximieren und die Risiken des Einsatzes kryptographischer Techniken zu minimieren und einen unangemessenen oder falschen Einsatz zu vermeiden; 
b) die Ermittlung des erforderlichen Schutzniveaus und der Klassifizierung der Informationen und folglich die Festlegung der Art, Stärke und Qualität der erforderlichen kryptographischen Algorithmen; 
c) den Einsatz der Kryptografie zum Schutz von Informationen, die sich auf Endgeräten oder Speichermedien mobiler Nutzer befinden und über Netze an solche Geräte oder Speichermedien übertragen werden; 
d) den Ansatz für die Schlüsselverwaltung, einschließlich Methoden für die Erzeugung und den Schutz kryptografischer Schlüssel und die Wiederherstellung verschlüsselter Informationen im Falle verlorener, kompromittierter oder beschädigter Schlüssel; 
e) die Aufgaben und Zuständigkeiten für:
1) die Umsetzung der Regeln für den wirksamen Einsatz der Kryptographie; 
2) die Schlüsselverwaltung, einschließlich der Schlüsselerzeugung (siehe 8.24); 
f) die anzunehmenden Standards sowie kryptografische Algorithmen, Verschlüsselungsstärke, kryptografische Lösungen und Verwendungspraktiken, die für die Verwendung in der Organisation zugelassen oder vorgeschrieben sind; 
g) die Auswirkungen der Verwendung verschlüsselter Informationen auf Kontrollen, die sich auf die Überprüfung von Inhalten stützen (z. B. Malware-Erkennung oder Inhaltsfilterung).
Bei der Umsetzung der Regeln der Organisation für den effektiven Einsatz von Kryptographie sollten die Vorschriften und nationalen Beschränkungen, die für den Einsatz von kryptographischen Techniken in verschiedenen Teilen der Welt gelten können, ebenso berücksichtigt werden wie die Problematik des grenzüberschreitenden Flusses verschlüsselter Informationen (siehe 5.31).
Der Inhalt von Dienstleistungsvereinbarungen oder Verträgen mit externen Anbietern kryptographischer Dienste (z. B. mit einer Zertifizierungsstelle) sollte Fragen der Haftung, der Zuverlässigkeit der Dienste und der Reaktionszeiten für die Bereitstellung der Dienste abdecken (siehe 5.22).
Schlüsselmanagement
Ein angemessenes Schlüsselmanagement erfordert sichere Prozesse für die Erzeugung, Speicherung, Archivierung, Abfrage, Verteilung, Außerdienststellung und Vernichtung kryptographischer Schlüssel.
Ein Schlüsselverwaltungssystem sollte auf einer Reihe vereinbarter Standards, Verfahren und sicherer Methoden beruhen 
für:
a) die Erzeugung von Schlüsseln für verschiedene kryptografische Systeme und verschiedene Anwendungen; 
b) die Ausstellung und den Erhalt von Zertifikaten für öffentliche Schlüssel; 
c) die Verteilung von Schlüsseln an die vorgesehenen Stellen, einschließlich der Frage, wie Schlüssel bei Erhalt aktiviert werden; 
d) die Speicherung von Schlüsseln, einschließlich der Frage, wie autorisierte Benutzer Zugang zu Schlüsseln erhalten; 
e) die Änderung oder Aktualisierung von Schlüsseln, einschließlich Regeln darüber, wann und wie Schlüssel geändert werden; f) den Umgang mit kompromittierten Schlüsseln; 
g) den Widerruf von Schlüsseln, einschließlich der Frage, wie Schlüssel zurückgezogen oder deaktiviert werden [z. B. wenn Schlüssel kompromittiert wurden].
z. B. wenn Schlüssel kompromittiert wurden oder wenn ein Benutzer die Organisation verlässt (in diesem Fall sollten die Schlüssel auch archiviert werden)]; 
h) Wiederherstellung verlorener oder beschädigter Schlüssel;
i) Sicherung oder Archivierung von Schlüsseln; 
j) Vernichtung von Schlüsseln; 
k) Protokollierung und Prüfung von Aktivitäten im Zusammenhang mit der Schlüsselverwaltung; 
l) Festlegung von Aktivierungs- und Deaktivierungsdaten für Schlüssel, so dass die Schlüssel nur für den Zeitraum verwendet werden können, der in den Regeln der Organisation für die Schlüsselverwaltung vorgesehen ist; 
m) Bearbeitung rechtlicher Anträge auf Zugang zu kryptografischen Schlüsseln (z. B. kann verlangt werden, dass verschlüsselte Informationen in unverschlüsselter Form als Beweismittel in einem Gerichtsverfahren zur Verfügung gestellt werden).
Alle kryptografischen Schlüssel sollten gegen Veränderung und Verlust geschützt werden. Darüber hinaus müssen geheime und private Schlüssel vor unbefugter Verwendung und Offenlegung geschützt werden. Die zur Erzeugung, Speicherung und Archivierung von Schlüsseln verwendeten Geräte sollten physisch geschützt werden.
Neben der Integrität sollte 
in vielen Anwendungsfällen auch 
die Authentizität der öffentlichen Schlüssel berücksichtigt werden.</t>
  </si>
  <si>
    <t>Sichere Entwicklung ist eine Voraussetzung für den Aufbau eines sicheren Dienstes, einer sicheren Architektur, Software und eines sicheren Systems. Um dies zu erreichen, sollten die folgenden Aspekte berücksichtigt werden:
a) Trennung von Entwicklungs-, Test- und Produktionsumgebungen (siehe 8.31); 
b) Leitlinien für die Sicherheit im Lebenszyklus der Softwareentwicklung: 
1) Sicherheit in der Softwareentwicklungsmethodik (siehe 8.28 und 8.27); 
2) Richtlinien für sichere Kodierung für jede verwendete Programmiersprache (siehe 8.28); 
c) Sicherheitsanforderungen in der Spezifikations- und Designphase (siehe 5.8); 
d) Sicherheitskontrollpunkte in Projekten (siehe 5.8); 
e) System- und Sicherheitstests, wie z.B. Regressionstests, Codescans und Penetrationstests (siehe 8.29); f) sichere Aufbewahrungsorte für Quellcode und Konfiguration (siehe 8.4 und 8.9); 
g) Sicherheit in der Versionskontrolle (siehe 8.32); 
h) erforderliches Wissen über Anwendungssicherheit und Schulung (siehe 8.28);
i) die Fähigkeit der Entwickler, Schwachstellen zu verhindern, zu finden und zu beheben (siehe 8.28); 
j) Lizenzanforderungen und Alternativen, um kosteneffiziente Lösungen zu gewährleisten und gleichzeitig zukünftige 
Lizenzierungsprobleme zu 
vermeiden 
(siehe 5.32).
Wenn die Entwicklung ausgelagert wird, soll sich die Organisation vergewissern, dass der Lieferant die Regeln der Organisation für sichere Entwicklung einhält (siehe 8.30).</t>
  </si>
  <si>
    <t>Allgemein
Die Anforderungen an die Anwendungssicherheit sollten ermittelt und spezifiziert werden. Diese Anforderungen werden in der Regel durch eine Risikobewertung ermittelt. Die Anforderungen sollten mit der Unterstützung von Informationssicherheitsspezialisten entwickelt werden.
Die Anforderungen an die Anwendungssicherheit können je nach dem Zweck der Anwendung ein breites Spektrum an Themen abdecken.
Die Anforderungen an die Anwendungssicherheit sollten gegebenenfalls Folgendes umfassen: 
a) Grad des Vertrauens in die Identität der Entitäten [z. B. durch Authentifizierung (siehe 5.17, 8.2 und 8.5)]; 
b) Identifizierung der Art der Informationen und der Klassifizierungsstufe, die von der Anwendung verarbeitet werden sollen; 
c) Notwendigkeit der Trennung des Zugriffs und der Zugriffsebene auf Daten und Funktionen in der Anwendung; 
d) Widerstandsfähigkeit gegen böswillige Angriffe oder unbeabsichtigte Störungen [z.z. B. Schutz vor Pufferüberläufen oder SQL-Injektionen (Structured Query Language)]; 
e) rechtliche, gesetzliche und behördliche Anforderungen in dem Land, in dem die Transaktion erzeugt, verarbeitet, abgeschlossen oder gespeichert wird; 
f) die Notwendigkeit des Schutzes der Privatsphäre aller Beteiligten; 
g) die Anforderungen an den Schutz vertraulicher Informationen; 
h) der Schutz von Daten während der Verarbeitung, bei der Übertragung und im Ruhezustand;
i) Notwendigkeit einer sicheren Verschlüsselung der Kommunikation zwischen allen Beteiligten; 
j) Eingabekontrollen, einschließlich Integritätsprüfungen und Eingabevalidierung; 
k) automatisierte Kontrollen (z. B. Genehmigungsgrenzen oder doppelte Genehmigungen); 
l) Ausgabekontrollen, wobei auch zu berücksichtigen ist, wer auf die Ausgaben zugreifen kann und welche Berechtigung er hat; 
m) Beschränkungen in Bezug auf den Inhalt von "Freitext"-Feldern, da diese zu einer unkontrollierten Speicherung vertraulicher Daten (z. B. personenbezogener Daten) führen können; n(
z. B. personenbezogene Daten); 
n) aus dem Geschäftsprozess abgeleitete Anforderungen, wie z. B. Transaktionsprotokollierung und -überwachung, Nichtabstreitbarkeitsanforderungen; 
o) Anforderungen, die durch andere Sicherheitskontrollen vorgeschrieben sind (z. B. Schnittstellen zu Protokollierungs- und Überwachungs- oder Datenleckerkennungssystemen); 
p) Behandlung von Fehlermeldungen. Transaktionsbezogene Dienste
Bei Anwendungen, die transaktionale Dienste zwischen der Organisation und einem Partner anbieten, sollte bei der Ermittlung der Anforderungen an die Informationssicherheit zusätzlich Folgendes berücksichtigt werden: 
a) der Grad des Vertrauens, den jede Partei in die behauptete Identität der anderen Partei benötigt; 
b) der Grad des Vertrauens, der in die Integrität der ausgetauschten oder verarbeiteten Informationen erforderlich ist, und die Mechanismen zur Identifizierung mangelnder Integrität (z.B. (z.B. 
zyklische Redundanzprüfung, Hashing, digitale Signaturen); 
c) Autorisierungsprozesse im Zusammenhang mit der Frage, wer den Inhalt wichtiger Transaktionsdokumente genehmigen, ausstellen oder unterzeichnen darf; 
d) Vertraulichkeit, Integrität, Versand- und Empfangsnachweis von Schlüsseldokumenten und die Nichtabstreitbarkeit (z.B. Verträge im Zusammenhang mit Ausschreibungs- und Vertragsprozessen); 
e) Vertraulichkeit und Integrität von Transaktionen (z.B. Bestellungen, Lieferadressangaben und Empfangsbestätigungen); 
f) Anforderungen an die Dauer der Vertraulichkeit einer Transaktion; 
g) Versicherungs- und andere vertragliche Anforderungen. Elektronische Bestell- und Zahlungsanwendungen
Bei Anwendungen, die elektronische Bestellungen und Zahlungen beinhalten, sollte zusätzlich Folgendes 
berücksichtigt werden: 
a) Anforderungen an die Wahrung der Vertraulichkeit und Integrität von Bestellinformationen; 
b) der Grad der Verifizierung, der für die Überprüfung der von einem Kunden gelieferten Zahlungsinformationen angemessen ist; 
c) die Vermeidung des Verlusts oder der Duplizierung von Transaktionsinformationen; 
d) die Speicherung von Transaktionsdetails außerhalb einer öffentlich zugänglichen Umgebung (z.d) Speicherung von Transaktionsdaten außerhalb einer öffentlich zugänglichen Umgebung (z. B. 
auf einer Speicherplattform im Intranet der Organisation und nicht auf elektronischen Speichermedien, die direkt über das Internet zugänglich sind); 
e) bei Verwendung einer vertrauenswürdigen Stelle (z. B. für die Ausstellung und Pflege digitaler Signaturen oder digitaler Zertifikate) ist die Sicherheit in den gesamten Prozess der End-to-End-Verwaltung von Zertifikaten oder Signaturen integriert und eingebettet.
Mehrere der oben genannten Überlegungen können durch die Anwendung von Kryptographie (siehe 8.24) unter Berücksichtigung der rechtlichen Anforderungen (siehe 5.31 bis 5.36, insbesondere 5.31 für Kryptographiegesetze) berücksichtigt werden.</t>
  </si>
  <si>
    <t>Die Grundsätze der Sicherheitstechnik sollten festgelegt, dokumentiert und bei der Entwicklung von Informationssystemen angewendet werden. Die Sicherheit sollte in allen Architekturschichten (Unternehmen, Daten, Anwendungen und Technologie) berücksichtigt werden. Neue Technologien sollten auf Sicherheitsrisiken untersucht und der Entwurf anhand bekannter Angriffsmuster überprüft werden.
Die Grundsätze der Sicherheitstechnik bieten Anhaltspunkte für Benutzerauthentifizierungstechniken, sichere Sitzungskontrolle sowie Datenvalidierung und -bereinigung.
Zu den Grundsätzen der sicheren Systemtechnik sollte die Analyse folgender Punkte gehören: 
a) das gesamte Spektrum der Sicherheitskontrollen, die erforderlich sind, um Informationen und Systeme gegen festgestellte Bedrohungen zu schützen; 
b) die Fähigkeiten der Sicherheitskontrollen, Sicherheitsereignisse zu verhindern, zu erkennen oder darauf zu reagieren; 
c) spezifische Sicherheitskontrollen, die für bestimmte Geschäftsprozesse erforderlich sind (z. B. Verschlüsselung sensibler Informationen, Integritätsprüfung und digitale Signierung von Informationen); 
d) wo und wie die Sicherheitskontrollen anzuwenden sind (z. B. durch Integration in eine Sicherheitsarchitektur und die technische Infrastruktur); 
e) wie einzelne (manuelle und automatisierte) Sicherheitskontrollen zusammenwirken, um ein integriertes System 
von Kontrollen 
zu schaffen
.
Die Grundsätze der Sicherheitstechnik sollen folgendes berücksichtigen: 
a) die Notwendigkeit der Integration in eine Sicherheitsarchitektur; 
b) die technische Sicherheitsinfrastruktur [z.B. Public-Key-Infrastruktur (PKI), Identitäts- und Zugriffsmanagement (IAM), Verhinderung von Datenlecks und dynamisches Zugriffsmanagement]; 
c) die Fähigkeit der Organisation, die gewählte Technologie zu entwickeln und zu unterstützen; 
d) die Kosten, den Zeitaufwand und die Komplexität der Erfüllung der Sicherheitsanforderungen; 
e) aktuelle bewährte Verfahren.
Die Entwicklung sicherer Systeme soll folgendes beinhalten
a) die Anwendung von Grundsätzen der Sicherheitsarchitektur, wie z.B. "Security by Design", "Defense in Depth", "Security by Default", "Default Deny", "Fail Secure", "Misstrauen gegenüber Eingaben von externen Anwendungen", "Security in Deployment", "assume breach", "Least Privilege", "Usability and Manageability" und "Least Functionality"; 
b) eine sicherheitsorientierte Entwurfsprüfung, die dazu beiträgt, Schwachstellen in der Informationssicherheit zu erkennen, und die sicherstellt, daß die Sicherheitskontrollen spezifiziert sind und die Sicherheitsanforderungen erfüllen; 
c) die Dokumentation und die formale Anerkennung von Sicherheitskontrollen, die die Anforderungen nicht vollständig erfüllen (z.z. B. aufgrund übergeordneter Sicherheitsanforderungen); 
d) Härtung von Systemen.
Die Organisation sollte "Null-Vertrauens"-Prinzipien in Betracht ziehen, wie z. B.: 
a) Annahme, dass die Informationssysteme der Organisation bereits angegriffen sind, und sich daher nicht allein auf die Sicherheit des Netzwerkrands verlassen; 
b) Anwendung eines "Niemals vertrauen und immer überprüfen"-Ansatzes für den Zugang zu Informationssystemen; 
c) Sicherstellung, dass Anfragen an Informationssysteme Ende-zu-Ende verschlüsselt werden; 
d) Überprüfung jeder Anfrage an ein Informationssystem, als käme sie aus einem offenen, externen Netzwerk, selbst wenn diese Anfragen ihren Ursprung innerhalb der Organisation haben (d. h. kein automatisches Vertrauen in alles, was innerhalb der Organisation ist).d. 
h. kein automatisches Vertrauen in alles, was sich innerhalb oder außerhalb der Grenzen der Organisation befindet; 
e) Anwendung von Techniken der "geringsten Rechte" und der dynamischen Zugangskontrolle (siehe 5.15, 5.18 und 8.2). Dazu gehört die Authentifizierung und Autorisierung von Anfragen nach Informationen oder zu Systemen auf der Grundlage von Kontextinformationen wie Authentifizierungsinformationen (siehe 5.17), Benutzeridentitäten (siehe 5.16), Daten über das Endgerät des Benutzers und Datenklassifizierung (siehe 5.12); 
f) die ständige Authentifizierung von Anforderern und die ständige Validierung von Autorisierungsanfragen an Informationssysteme auf der Grundlage von Informationen wie Authentifizierungsinformationen (siehe 5.17) und Benutzeridentitäten (5.16), Daten über das Endgerät des Benutzers und Datenklassifizierung (siehe 5.12), z. B. die Durchsetzung einer starken Authentifizierung (z. B. Mehrfaktorverfahren, siehe 8.5).
Die festgelegten sicherheitstechnischen Grundsätze sollen gegebenenfalls auch auf die ausgelagerte Entwicklung von Informationssystemen angewandt werden, und zwar durch Verträge und andere verbindliche Vereinbarungen zwischen der Organisation und dem Lieferanten, an den die Organisation auslagert. Die Organisation soll sicherstellen, daß die sicherheitstechnischen Praktiken der Lieferanten mit den Anforderungen der Organisation übereinstimmen.
Die Grundsätze der Sicherheitstechnik und die festgelegten technischen Verfahren sollen regelmäßig überprüft werden, um sicherzustellen, dass sie wirksam zu verbesserten Sicherheitsstandards innerhalb des technischen Prozesses beitragen. Sie sollen auch regelmäßig überprüft werden, um sicherzustellen, daß sie im Hinblick auf die Bekämpfung neuer potentieller Bedrohungen auf dem neuesten Stand bleiben und daß sie auch bei Fortschritten in den angewandten Technologien und Lösungen anwendbar bleiben.</t>
  </si>
  <si>
    <t>Allgemein
Die Organisation sollte organisationsweite Prozesse einrichten, um eine gute Governance für sichere Kodierung zu gewährleisten. Es sollte ein Mindestmaß an Sicherheit festgelegt und angewendet werden. Darüber hinaus sollen diese Prozesse und die Steuerung auch auf Softwarekomponenten von Dritten und Open-Source-Software ausgedehnt werden.
Die Organisation sollte reale Bedrohungen sowie aktuelle Ratschläge und Informationen über Software-Schwachstellen überwachen, um die Grundsätze der sicheren Kodierung der Organisation durch kontinuierliche Verbesserung und Lernen zu steuern. Auf 
diese Weise kann sichergestellt werden, dass wirksame Praktiken zur sicheren Kodierung implementiert werden, um die sich schnell verändernde Bedrohungslandschaft zu bekämpfen.
Planung und vor der Kodierung
Die Grundsätze der sicheren Kodierung sollten sowohl bei Neuentwicklungen als auch bei Wiederverwendungsszenarien angewendet werden. Diese Grundsätze sollten sowohl bei Entwicklungsaktivitäten innerhalb der Organisation als auch bei Produkten und Dienstleistungen, die von der Organisation an andere geliefert werden, angewendet werden. Zu den Planungen und Voraussetzungen vor der Codierung sollten gehören:
a) organisationsspezifische Erwartungen und anerkannte Grundsätze für sichere Codierung, die sowohl bei internen als auch bei ausgelagerten Codeentwicklungen anzuwenden sind; 
b) übliche und historische Codierungspraktiken und Fehler, die zu Schwachstellen in der Informationssicherheit führen; 
c) Konfiguration von Entwicklungswerkzeugen, wie z. B. integrierte Entwicklungsumgebungen (IDE), um die Erstellung von sicherem Code zu unterstützen; 
d) Befolgung der von den Anbietern von Entwicklungswerkzeugen und Ausführungsumgebungen herausgegebenen Anleitungen; 
e) Pflege und Verwendung von aktualisierten Entwicklungswerkzeugen (z. B. Compiler); f)
z. B. Compiler); 
f) Qualifizierung von Entwicklern für das Schreiben von sicherem Code; 
g) sicheres Design und sichere Architektur, einschließlich Bedrohungsmodellierung; 
h) Standards für sichere Kodierung und gegebenenfalls Vorgabe ihrer Verwendung;
i) Verwendung kontrollierter Umgebungen für die Entwicklung. Während der Kodierung
Bei der Programmierung sollten folgende Aspekte berücksichtigt werden: 
a) sichere Codierungspraktiken, die für die verwendeten Programmiersprachen und -techniken spezifisch sind; 
b) Verwendung sicherer Programmiertechniken wie Paarprogrammierung, Refactoring, Peer Review, Sicherheitsiterationen und testgetriebene Entwicklung; 
c) Verwendung strukturierter Programmiertechniken; 
d) Dokumentation des Codes und Beseitigung von Programmierfehlern, die die Ausnutzung von Schwachstellen in der Informationssicherheit ermöglichen können; 
e) Verbot der Verwendung unsicherer Entwurfstechniken (z. B. die Verwendung von fest codierten Passwörtern, nicht genehmigten Codeproben und nicht authentifizierten Webdiensten).
Die Tests sollten während und nach der Entwicklung durchgeführt werden (siehe 8.29). Statische Anwendungssicherheitstests (SAST) können Sicherheitslücken in Software aufdecken. 
Bevor die Software in Betrieb genommen wird, sollte Folgendes bewertet werden: 
a) Angriffsfläche und das Prinzip der geringsten Privilegien; 
b) Durchführung einer Analyse der häufigsten Programmierfehler und Dokumentation, dass diese abgemildert wurden.
Überprüfung und Wartung
Nach der Inbetriebnahme des Codes:
a) sollten Aktualisierungen sicher verpackt und bereitgestellt werden; 
b) sollten gemeldete Informationssicherheitsschwachstellen behandelt werden (siehe 8.8); 
c) sollten Fehler und vermutete Angriffe protokolliert und die Protokolle regelmäßig überprüft werden, um gegebenenfalls Anpassungen am Code vorzunehmen; 
d) sollte der Quellcode vor unbefugtem Zugriff und Manipulationen geschützt werden (z. B. durch den Einsatz von Konfigurationsmanagement-Tools, die in der Regel Funktionen wie Zugriffskontrolle und Versionskontrolle bieten).
Bei der Verwendung externer Tools und Bibliotheken sollte die Organisation Folgendes berücksichtigen: 
a) Sicherstellung, dass externe Bibliotheken verwaltet werden (z. B. durch Führung eines Inventars der verwendeten Bibliotheken und ihrer Versionen) und regelmäßig mit den Release-Zyklen aktualisiert werden; 
b) Auswahl, Autorisierung und Wiederverwendung gut geprüfter Komponenten, insbesondere Authentifizierungs- und kryptografische Komponenten; 
c) Lizenz, Sicherheit und Historie externer Komponenten; 
d) Sicherstellung, dass die Software wartbar ist, nachverfolgt werden kann und aus bewährten, seriösen Quellen stammt; 
e) ausreichend langfristige Verfügbarkeit von Entwicklungsressourcen und Artefakten. 
Wenn ein Softwarepaket geändert werden muss, sollten folgende Punkte berücksichtigt werden: 
a) das Risiko, dass eingebaute Kontrollen und Integritätsprozesse beeinträchtigt werden; 
b) die Frage, ob die Zustimmung des Anbieters eingeholt werden muss; 
c) die Möglichkeit, die erforderlichen Änderungen vom Anbieter als Standardprogramm-Updates zu erhalten; 
d) die Auswirkungen, wenn die Organisation infolge von Änderungen für die künftige Wartung der Software verantwortlich wird; 
e) die Kompatibilität mit anderer verwendeter Software.</t>
  </si>
  <si>
    <t>Neue Informationssysteme, Upgrades und neue Versionen sollten während der Entwicklungsprozesse gründlich getestet und überprüft werden. Sicherheitstests sollten ein integraler Bestandteil der Tests für Systeme oder Komponenten sein.
Sicherheitstests sollten anhand einer Reihe von Anforderungen durchgeführt werden, die als funktionale oder nicht-funktionale Anforderungen formuliert werden können. Die Sicherheitstests sollen die Prüfung von
a) Sicherheitsfunktionen [z.B. Benutzerauthentisierung (siehe 8.5), Zugriffsbeschränkung (siehe 8.3) und Einsatz von Kryptographie (siehe 8.24)]; 
b) sichere Kodierung (siehe 8.28); 
c) sichere Konfigurationen (siehe 8.9, 8.20 und 8.22), einschließlich derjenigen von Betriebssystemen, Firewalls und anderen Sicherheitskomponenten.
Die Testpläne sollen anhand einer Reihe von Kriterien festgelegt werden. Der Umfang der Tests sollte im Verhältnis zur Bedeutung, zur Art des Systems und zu den möglichen Auswirkungen der eingeführten 
Änderung stehen. Der Testplan sollte Folgendes enthalten: 
a) einen detaillierten Zeitplan für die Aktivitäten und Tests; 
b) Eingaben und erwartete Ergebnisse unter verschiedenen Bedingungen; 
c) Kriterien für die Bewertung der Ergebnisse; 
d) Entscheidung für weitere Maßnahmen, falls erforderlich. 
Die Organisation kann automatisierte Werkzeuge wie Code-Analyse-Tools oder Schwachstellen-Scanner einsetzen und sollte die Behebung sicherheitsrelevanter Mängel überprüfen.
Bei Eigenentwicklungen sollten solche Tests zunächst vom Entwicklungsteam durchgeführt werden. Anschließend sollten unabhängige Abnahmetests durchgeführt werden, um sicherzustellen, dass das System wie erwartet und nur wie erwartet funktioniert (siehe 5.8). Folgendes sollte in Betracht gezogen werden: 
a) Durchführung von Code-Review-Aktivitäten als relevantes Element für die Prüfung auf Sicherheitsmängel, einschließlich unerwarteter Eingaben und Bedingungen; 
b) Durchführung von Schwachstellen-Scans zur Ermittlung unsicherer Konfigurationen und Systemschwachstellen; 
c) Durchführung von Penetrationstests zur Ermittlung von unsicherem Code und Design.
Für ausgelagerte Entwicklungs- und Beschaffungskomponenten sollte 
ein Beschaffungsprozess befolgt werden. In den Verträgen mit dem Lieferanten sollen die ermittelten Sicherheitsanforderungen (siehe 5.20) berücksichtigt werden. Produkte und Dienstleistungen sollten vor der Beschaffung anhand dieser Kriterien bewertet werden.
Die Tests sollen in einer Testumgebung durchgeführt werden, die der angestrebten Produktionsumgebung so weit wie möglich entspricht, um sicherzustellen, dass das System keine Schwachstellen in die Umgebung der Organisation einführt und dass die Tests zuverlässig sind (siehe 8.31).</t>
  </si>
  <si>
    <t>Wenn die Systementwicklung ausgelagert wird, sollte die Organisation die Anforderungen und Erwartungen kommunizieren und vereinbaren und kontinuierlich überwachen und überprüfen, ob die ausgelagerte Arbeit diesen Erwartungen entspricht. Die folgenden Punkte sollten in der gesamten externen Lieferkette der Organisation berücksichtigt werden:
a) Lizenzvereinbarungen, Eigentumsrechte am Code und Rechte am geistigen Eigentum in Bezug auf den ausgelagerten Inhalt 
(siehe 5.32); 
b) vertragliche Anforderungen an sichere Entwurfs-, Kodierungs- und Testpraktiken (siehe 8.25 bis 8.29); 
c) Bereitstellung des Bedrohungsmodells, das von den externen Entwicklern zu berücksichtigen ist; 
d) Abnahmetests für die Qualität und Genauigkeit der Ergebnisse (siehe 8.29); 
e) Bereitstellung von Nachweisen, dass ein akzeptables Mindestmaß an Sicherheits- und Datenschutzfähigkeiten vorhanden ist (z. B. Assurance-Berichte); f
f) Nachweis, dass ausreichende Tests durchgeführt wurden, um das Vorhandensein bösartiger Inhalte (sowohl absichtlich als auch unabsichtlich) bei der Auslieferung auszuschließen; 
g) Nachweis, dass ausreichende Tests durchgeführt wurden, um das Vorhandensein bekannter Schwachstellen auszuschließen; 
h) Treuhandvereinbarungen für den Software-Quellcode (z. B. wenn der Lieferant seine Geschäftstätigkeit einstellt);
i) vertragliches Recht auf Prüfung der Entwicklungsprozesse und -kontrollen; 
j) Sicherheitsanforderungen für die Entwicklungsumgebung (siehe 8.31); 
k) Berücksichtigung der geltenden Rechtsvorschriften (z. B. zum Schutz personenbezogener Daten).</t>
  </si>
  <si>
    <t>Der Grad der Trennung zwischen Produktions-, Test- und Entwicklungsumgebungen, der notwendig ist, um Produktionsprobleme zu vermeiden, sollte ermittelt und umgesetzt werden.
Dabei sollten folgende Punkte berücksichtigt werden: 
a) angemessene Trennung von Entwicklungs- und Produktionssystemen und Betrieb in unterschiedlichen Domänen (z.B. in getrennten virtuellen oder physischen Umgebungen); 
b) Definition, Dokumentation und Umsetzung von Regeln und Berechtigungen für den Einsatz von Software vom Entwicklungs- in den Produktionsstatus; 
c) Testen von Änderungen an Produktionssystemen und -anwendungen in einer Test- oder Staging-Umgebung, bevor sie auf Produktionssysteme angewendet werden (siehe 8.29); 
d) Testen in Produktionsumgebungen nur unter festgelegten und genehmigten Umständen; 
e) Compiler, Editoren und andere Entwicklungswerkzeuge oder Hilfsprogramme sind von Produktionssystemen aus nicht zugänglich, wenn sie nicht benötigt werden; 
f) Anzeige geeigneter Umgebungskennzeichnungen in Menüs zur Verringerung des Fehlerrisikos; 
g) Kopieren sensibler Informationen in die Entwicklungs- und Testsystemumgebungen, sofern nicht gleichwertige Kontrollen für die Entwicklungs- und Testsysteme vorgesehen sind.
In jedem Fall sollten die Entwicklungs- und Testumgebungen geschützt werden, wobei Folgendes zu berücksichtigen ist: 
a) Patchen und Aktualisieren aller Entwicklungs-, Integrations- und Testwerkzeuge (einschließlich Builder, Integratoren, Compiler, Konfigurationssysteme und Bibliotheken); 
b) sichere Konfiguration von Systemen und Software; 
c) Kontrolle des Zugriffs auf die Umgebungen; 
d) Überwachung von Änderungen an der Umgebung und des darin gespeicherten Codes; 
e) sichere Überwachung der Umgebungen; f) Erstellen von Sicherungskopien der Umgebungen.
Eine einzelne Person sollte nicht in der Lage sein, ohne vorherige Überprüfung und Genehmigung Änderungen sowohl an der Entwicklungs- als auch an der Produktionsumgebung vorzunehmen. Dies kann beispielsweise durch eine Trennung der Zugriffsrechte oder durch Regeln, die überwacht werden, erreicht werden. In Ausnahmesituationen sollten zusätzliche Maßnahmen wie ausführliche Protokollierung und Echtzeitüberwachung eingeführt werden, um unbefugte Änderungen zu erkennen und darauf zu reagieren.</t>
  </si>
  <si>
    <t>Die Einführung neuer Systeme und größere Änderungen an bestehenden Systemen sollten nach vereinbarten Regeln und einem formalen Prozess der Dokumentation, Spezifikation, Prüfung, Qualitätskontrolle und kontrollierten Umsetzung erfolgen. Es sollten Managementzuständigkeiten und -verfahren vorhanden sein, um eine zufriedenstellende Kontrolle aller Änderungen zu gewährleisten.
Änderungskontrollverfahren sollten dokumentiert und durchgesetzt werden, um die Vertraulichkeit, Integrität und Verfügbarkeit von Informationen in Informationsverarbeitungseinrichtungen und Informationssystemen für den gesamten Lebenszyklus der Systementwicklung von den frühen Entwurfsphasen bis zu allen nachfolgenden Wartungsarbeiten zu gewährleisten.
Wo immer dies möglich ist, sollten 
Änderungskontrollverfahren für IKT-Infrastruktur und Software integriert werden.
Die Änderungskontrollverfahren sollten Folgendes umfassen: 
a) Planung und Bewertung der potenziellen Auswirkungen von Änderungen unter Berücksichtigung aller Abhängigkeiten; 
b) Genehmigung von Änderungen; 
c) Mitteilung von Änderungen an relevante interessierte Parteien; 
d) Tests und Abnahme von Tests für die Änderungen (siehe 8.29); 
e) Durchführung von Änderungen einschließlich Bereitstellungsplänen; 
f) Überlegungen zu Notfällen und Eventualitäten einschließlich Ausweichverfahren; 
g) Führung von Aufzeichnungen über Änderungen, die alle oben genannten Punkte umfassen; 
h) Sicherstellung, dass die Betriebsdokumentation (siehe 5.37) und die Benutzerverfahren nach Bedarf geändert werden, um angemessen zu bleiben;
i) Sicherstellung, dass IKT-Kontinuitätspläne und Reaktions- und Wiederherstellungsverfahren (siehe 5.30) bei Bedarf geändert werden, um angemessen zu bleiben.</t>
  </si>
  <si>
    <t>Die Testinformationen sollten so ausgewählt werden, dass die Zuverlässigkeit der Testergebnisse und die Vertraulichkeit der relevanten betrieblichen Informationen gewährleistet sind. Sensible Informationen (einschließlich personenbezogener Daten) sollten nicht in die Entwicklungs- und Testumgebung kopiert werden (siehe 8.31).
Zum Schutz von Kopien betrieblicher Informationen, die zu Testzwecken verwendet werden, sollten die folgenden Richtlinien angewandt werden, unabhängig davon, ob die Testumgebung intern oder über einen Cloud-Dienst erstellt wurde:
a) Anwendung der gleichen Zugriffskontrollverfahren auf Testumgebungen wie auf Betriebsumgebungen; 
b) separate Autorisierung jedes Mal, wenn betriebliche Informationen in eine Testumgebung kopiert werden; 
c) Protokollierung des Kopierens und der Verwendung betrieblicher Informationen, um einen Prüfpfad zu erstellen; 
d) Schutz sensibler Informationen durch Entfernung oder Maskierung (siehe 8.11), wenn sie für Tests verwendet werden; 
e) ordnungsgemäßes Löschen (siehe 8.10) betrieblicher Informationen aus einer Testumgebung unmittelbar nach Abschluss der Tests, um eine unbefugte Verwendung von Testinformationen zu verhindern.
Testinformationen sollten sicher gespeichert werden (um Manipulationen zu verhindern, die andernfalls zu ungültigen Ergebnissen führen können) und nur zu Testzwecken verwendet werden.</t>
  </si>
  <si>
    <t>Die folgenden Leitlinien sollten beachtet werden:
a) Abstimmung der Prüfungsanträge für den Zugang zu Systemen und Daten mit dem zuständigen Management; 
b) Vereinbarung und Kontrolle des Umfangs der technischen Prüfungen; 
c) Beschränkung der Prüfungen auf den Nur-Lese-Zugang zu Software und Daten. Wenn ein Nur-Lese-Zugang nicht möglich ist, um die erforderlichen Informationen zu erhalten, ist die Prüfung von einem erfahrenen Administrator durchzuführen, der im Namen des Prüfers über die erforderlichen Zugriffsrechte verfügt; 
d) wenn der Zugang gewährt wird, sind die Sicherheitsanforderungen (z. B. Virenschutz und Patches) für die Geräte, die für den Zugang zu den Systemen verwendet werden (z. B. Laptops oder Tablets), festzulegen und zu überprüfen, bevor der Zugang gewährt wird. (z. B. 
Laptops oder Tablets), bevor der Zugriff gewährt wird; 
e) Gewährung eines Zugriffs, der über den reinen Lesezugriff hinausgeht, nur für isolierte Kopien von Systemdateien, die nach Abschluss der Prüfung gelöscht oder angemessen geschützt werden, wenn eine Verpflichtung zur Aufbewahrung solcher Dateien im Rahmen der Prüfungsdokumentation besteht; 
f) Ermittlung und Genehmigung von Anträgen auf besondere oder zusätzliche Verarbeitung, z. B. Ausführung von Prüfungstools; 
g) Durchführung von Prüfungstests, die sich auf die Systemverfügbarkeit außerhalb der Geschäftszeiten auswirken können; 
h) Überwachung und Protokollierung aller Zugriffe zu Prüfungs- und Testzwecken.</t>
  </si>
  <si>
    <t>SoA</t>
  </si>
  <si>
    <t>Grid operator area</t>
  </si>
  <si>
    <t>Energy producer area</t>
  </si>
  <si>
    <t>B</t>
  </si>
  <si>
    <t>Sating - Bewertung - Appréciation -Stima</t>
  </si>
  <si>
    <t>General IT area (Baseline)</t>
  </si>
  <si>
    <t>Present</t>
  </si>
  <si>
    <t>Target</t>
  </si>
  <si>
    <t>SoA &amp; n/a
Comments
Kommentare
Commentaires
Commenti</t>
  </si>
  <si>
    <t>Descriptions, additional information, explanations</t>
  </si>
  <si>
    <t>Statement of Applicability (SoA)</t>
  </si>
  <si>
    <t>Maturity assessment of cyber security</t>
  </si>
  <si>
    <t>F</t>
  </si>
  <si>
    <t>full  / is completely applicable</t>
  </si>
  <si>
    <t>not implemented</t>
  </si>
  <si>
    <t>non-applicable / is not applicable</t>
  </si>
  <si>
    <t>partial</t>
  </si>
  <si>
    <t>P</t>
  </si>
  <si>
    <t>partial / can only be partially implemented</t>
  </si>
  <si>
    <t>risk informed</t>
  </si>
  <si>
    <t>with boundarys / dependent on other sets</t>
  </si>
  <si>
    <t>repeatable</t>
  </si>
  <si>
    <t>?</t>
  </si>
  <si>
    <t>in clarification / currently not known</t>
  </si>
  <si>
    <t>adaptive</t>
  </si>
  <si>
    <t>not yet assessed</t>
  </si>
  <si>
    <t>non-applicable / Justification required</t>
  </si>
  <si>
    <t>Please move your mouse over the cells to read the detailed explanations.</t>
  </si>
  <si>
    <t>Important</t>
  </si>
  <si>
    <t>This measure is deliberately not implemented by the organization/company according to its own risk assessment. Basically, assessments from 0 to 4 are to be carried out. This must be justified and documented in a comprehensible manner in every case; the review steps must also be documented and justified in the case of recurring assessments!</t>
  </si>
  <si>
    <t>Maturitäts Bewertung der Cyber Security</t>
  </si>
  <si>
    <t>nicht umgesetzt</t>
  </si>
  <si>
    <t>partiell umgesetzt, nicht vollständig definiert und abgenommen</t>
  </si>
  <si>
    <t>partiell umgesetzt, vollständig definiert und abgenommen</t>
  </si>
  <si>
    <t>umgesetzt, vollständig oder grösstenteils umgesetzt, statisch</t>
  </si>
  <si>
    <t>dynamisch, umgesetzt, kontinuierlich überprüft, verbessert</t>
  </si>
  <si>
    <t>nicht applizierbar / Begründung notwendig</t>
  </si>
  <si>
    <t>Bitte mit der Maus über die Zellen fahren um die ausführlichen Ausführungen zu lesen.</t>
  </si>
  <si>
    <t>Wichtig</t>
  </si>
  <si>
    <t>Diese Massnahme wird von der Organisation/dem Unternehmen entsprechend der eigenen Risikobewertung bewusst nicht umgesetzt. Grundsätzlich sind Bewertungen von 0 bis 4 vorzunehmen. Dies ist in jedem Fall nachvollziehbar zu begründen und zu dokumentieren, auch bei wiederkehrenden Bewertungen sind die Überprüfungsschritte zu dokumentieren und zu begründen!</t>
  </si>
  <si>
    <t>Évaluation de la maturité de la cybersécurité</t>
  </si>
  <si>
    <t>pas mis en oeuvre</t>
  </si>
  <si>
    <t>partiellement mis en oeuvre, pas entièrement défini ni validé</t>
  </si>
  <si>
    <t>partiellement mis en oeuvre, entièrement défini et accepté</t>
  </si>
  <si>
    <t>entièrement ou très largement mis en oeuvre, définitif ("statique")</t>
  </si>
  <si>
    <t>mis en oeuvre dynamiquement, contrôlé et amélioré en permanence</t>
  </si>
  <si>
    <t>Inapplicable / Raison nécessaire</t>
  </si>
  <si>
    <t>Déplacez votre souris sur les cellules pour lire les explications.</t>
  </si>
  <si>
    <t>Cette mesure n'est délibérément pas mise en œuvre par l'organisation/l'entreprise en fonction de sa propre évaluation des risques. En principe, il faut procéder à des évaluations de 0 à 4. Cela doit être justifié et documenté de manière compréhensible dans tous les cas, même en cas d'évaluations récurrentes, les étapes de vérification doivent être documentées et justifiées !</t>
  </si>
  <si>
    <t>Valutazione della maturità della cybersecurity</t>
  </si>
  <si>
    <t>non attuata</t>
  </si>
  <si>
    <t>parzialmente attuata, non definita e approvata completamente</t>
  </si>
  <si>
    <t>parzialmente attuata, definita e approvata completamente</t>
  </si>
  <si>
    <t>attuata, completamente o in gran parte attuata, statica</t>
  </si>
  <si>
    <t>dinamica, attuata, verificata costantemente, migliorata</t>
  </si>
  <si>
    <t>Inapplicabile / Motivo necessario</t>
  </si>
  <si>
    <t>Si prega di spostare il mouse sulle celle per leggere le spiegazioni dettagliate.</t>
  </si>
  <si>
    <t>Questa misura non viene deliberatamente attuata dall'organizzazione/azienda in base alla propria valutazione dei rischi. Fondamentalmente, le valutazioni da 0 a 4 devono essere effettuate. Questo deve essere giustificato e documentato in modo comprensibile in ogni caso; anche nel caso di valutazioni ricorrenti, le fasi di revisione devono essere documentate e giustificate!</t>
  </si>
  <si>
    <t>Low</t>
  </si>
  <si>
    <t>Medium</t>
  </si>
  <si>
    <t>High</t>
  </si>
  <si>
    <t>Schutzniveau</t>
  </si>
  <si>
    <t>Protority</t>
  </si>
  <si>
    <t>Performance</t>
  </si>
  <si>
    <t>Maturity Rating</t>
  </si>
  <si>
    <t>Value</t>
  </si>
  <si>
    <t>Grid operator</t>
  </si>
  <si>
    <t>Erzeuger</t>
  </si>
  <si>
    <t>Effekt</t>
  </si>
  <si>
    <t>TCO</t>
  </si>
  <si>
    <t>Rate</t>
  </si>
  <si>
    <t>≥ 800 MW</t>
  </si>
  <si>
    <t>Dynamisch, umgesetzt, kontinuierlich überprüft, verbessert</t>
  </si>
  <si>
    <t>Nicht applizierbar / Begründung notwendig</t>
  </si>
  <si>
    <t>Prio-
rity</t>
  </si>
  <si>
    <t>Document History</t>
  </si>
  <si>
    <t>Mattmann Stefan</t>
  </si>
  <si>
    <t>Strom AG</t>
  </si>
  <si>
    <t>Stromstrasse 8, 9999 Starkstrom</t>
  </si>
  <si>
    <t>Senior System Engineer Grid Communication</t>
  </si>
  <si>
    <t>Netze</t>
  </si>
  <si>
    <t>Netzführung</t>
  </si>
  <si>
    <t>HoP-5.P11.L1</t>
  </si>
  <si>
    <t>in Progress</t>
  </si>
  <si>
    <t>Internal</t>
  </si>
  <si>
    <t>0.1</t>
  </si>
  <si>
    <t>Stefan Mattmann</t>
  </si>
  <si>
    <t>in progress</t>
  </si>
  <si>
    <t>CKW AG</t>
  </si>
  <si>
    <t>Entire Strom AG Group with subsidiaries</t>
  </si>
  <si>
    <t>Initial recording</t>
  </si>
  <si>
    <t>Company:</t>
  </si>
  <si>
    <t>Status:</t>
  </si>
  <si>
    <t>Area of validity:</t>
  </si>
  <si>
    <t>Basic document
Basisdokument
Document de base
Documento di base</t>
  </si>
  <si>
    <t>Grid operator area
Bereich Verteilnetzbetreiber
Domaine du gestionnaire de réseau
Area dell'operatore di rete</t>
  </si>
  <si>
    <t>Energy producer area
Bereich Energieerzeugung
Domaine du producteur d'électricité
Area del produttore di energia elettrica</t>
  </si>
  <si>
    <t>General IT area (Baseline)
Bereich IT Allgemein (Baseline)
Domaine IT Généralités (Baseline)
Area IT generale (Baseline)</t>
  </si>
  <si>
    <t>Name
Name
Nom
Nome</t>
  </si>
  <si>
    <t>Adress
Adresse
Adresse
Adresse</t>
  </si>
  <si>
    <t>Organizations - Company / Organisation - Unternehmen
Organisations - Entreprises / Organizzazioni - Azienda</t>
  </si>
  <si>
    <t>Document Owner - Responsible / Dokumenteneigentümer - Verantwortlich
Propriétaire du document - Responsable / Propriétaire du document - Responsable</t>
  </si>
  <si>
    <t>Area / Bereich
Domaine / Area</t>
  </si>
  <si>
    <t>Name / Name
Name / Nome</t>
  </si>
  <si>
    <t>Function / Funktion
Fonction / Funzione</t>
  </si>
  <si>
    <t>Department / Bereich
Département / Dipartimento</t>
  </si>
  <si>
    <t>Division / Abteilung
Division / Reparto</t>
  </si>
  <si>
    <t>Document Parameter / Dokument Parameter / Paramètre du document / Parametro del documento</t>
  </si>
  <si>
    <t>ID - Number
ID - Nummer
ID / Numéro
ID- Numero</t>
  </si>
  <si>
    <t>Status
Status
Statut
Stato</t>
  </si>
  <si>
    <t>Last review
Letze Überarbeitung
Dernier examen
Ultima recensione</t>
  </si>
  <si>
    <t>Next review
Nächste Überarbeitung
Prochain examen
Prossima recensione</t>
  </si>
  <si>
    <t>Classification
Klassifizierung
Classification
Classificazione</t>
  </si>
  <si>
    <t>Creation date
Datum der Erstellung
Date de création
Data di creazione</t>
  </si>
  <si>
    <t>Area of validity
Geltungsbereich
Domaine de validité
Area di validità</t>
  </si>
  <si>
    <t>Version / Version
Version / Versione</t>
  </si>
  <si>
    <t>Date / Datum
Date / Data</t>
  </si>
  <si>
    <t>Company / Firma
Entreprise / Azienda</t>
  </si>
  <si>
    <t xml:space="preserve">Change - Remarks / Änderung - Bemerkungen
Changement - Remarques / Modifica - Osservazioni </t>
  </si>
  <si>
    <t>Status / Status
Statut / Stato</t>
  </si>
  <si>
    <t>5 Organisatorische Controls Subrating</t>
  </si>
  <si>
    <t>6 Personelle Controls Subrating</t>
  </si>
  <si>
    <t>7 Physische Controls Subrating</t>
  </si>
  <si>
    <t>8 Technologische Controls Subrating</t>
  </si>
  <si>
    <t>Overall Assessment ISO 27001:2022 Annex A Seting</t>
  </si>
  <si>
    <t>Grid Operator Area</t>
  </si>
  <si>
    <t>Producer Area</t>
  </si>
  <si>
    <t>IT General Area</t>
  </si>
  <si>
    <t>Graphical evaluation for all areas</t>
  </si>
  <si>
    <t>Protection niveau Grid Area in accordance with the Strom VV:</t>
  </si>
  <si>
    <t>Text zur Umsetzungsempfehlung</t>
  </si>
  <si>
    <t>Verfügbarkeit</t>
  </si>
  <si>
    <t>Vorbeugend</t>
  </si>
  <si>
    <t>Vertraulichkeit
Integrität
Verfügbarkeit</t>
  </si>
  <si>
    <t>IDENTIFY (ID)</t>
  </si>
  <si>
    <t>PROTECT (PR)</t>
  </si>
  <si>
    <t>Vorbeugend
Korrigierend</t>
  </si>
  <si>
    <t>PROTECT (PR)
RESPOND (RS)
RECOVER (RC)</t>
  </si>
  <si>
    <t>Vorbeugend
Untersuchend
Korrigierend
Untersuchend</t>
  </si>
  <si>
    <t xml:space="preserve">IDENTIFY (ID)
PROTECT (PR)
RESPOND (RS)   </t>
  </si>
  <si>
    <t>IDENTIFY (ID)
PROTECT (PR)</t>
  </si>
  <si>
    <t>Vertraulichkeit
Verfügbarkeit</t>
  </si>
  <si>
    <t>Korrigierend</t>
  </si>
  <si>
    <t>RESPOND (RS)
RECOVER (RC)</t>
  </si>
  <si>
    <t>Untersuchend</t>
  </si>
  <si>
    <t xml:space="preserve">DETECT (DE)
RESPOND (RS)   </t>
  </si>
  <si>
    <t>DETECT (DE)
RESPOND (RS)</t>
  </si>
  <si>
    <t xml:space="preserve">PROTECT (PR)
RESPOND (RS)  </t>
  </si>
  <si>
    <t xml:space="preserve">RESPOND (RS)  </t>
  </si>
  <si>
    <t>PROTECT (PR)
RECOVER (RC)</t>
  </si>
  <si>
    <t>Vertraulichkeit</t>
  </si>
  <si>
    <t>DETECT (DE)</t>
  </si>
  <si>
    <t>Vorbeugend
Untersuchend</t>
  </si>
  <si>
    <t>PROTECT (PR)
DETECT (DE)</t>
  </si>
  <si>
    <t>Integrität
Verfügbarkeit</t>
  </si>
  <si>
    <t>RECOVER (RC)</t>
  </si>
  <si>
    <t>Untersuchend
Korrigierend
Untersuchend</t>
  </si>
  <si>
    <t>Integrität</t>
  </si>
  <si>
    <t>IDENTIFY (ID)
PROTECT (PR)
DETECT (DE)</t>
  </si>
  <si>
    <t>Vertraulichkeit
Integrität</t>
  </si>
  <si>
    <t>Kind
Art
Genre
Modo</t>
  </si>
  <si>
    <t>Target
Ziel
But
Obiettivo
(CIA-Triade)</t>
  </si>
  <si>
    <t>Purpose
Zweck
Objectif
Scopo</t>
  </si>
  <si>
    <t>This document may only be used if a valid license for ISO 27001/27002 is available.</t>
  </si>
  <si>
    <t>VSE Assessment Tool ISO27001:2022 Annex A</t>
  </si>
  <si>
    <t>incl. Controls acc.to ISO27002</t>
  </si>
  <si>
    <r>
      <t xml:space="preserve">VSE Assessment Tool ISO27001:2022 Annex A
</t>
    </r>
    <r>
      <rPr>
        <b/>
        <sz val="12"/>
        <color theme="0"/>
        <rFont val="Arial"/>
        <family val="2"/>
      </rPr>
      <t>incl. Controls acc.to ISO27002</t>
    </r>
  </si>
  <si>
    <t>≥ 450 GWh/year</t>
  </si>
  <si>
    <t>&lt; 112 GWh/year</t>
  </si>
  <si>
    <t>≥ 112 GWh/year and &lt; 450 GWh/year</t>
  </si>
  <si>
    <t>≥ 100 MW and &lt; 800 MW</t>
  </si>
  <si>
    <t>NIST CSF 1.1
Cyber-
Security-
Funktion</t>
  </si>
  <si>
    <t>vollständig / ist vollständig anwendbar</t>
  </si>
  <si>
    <t>nicht anwendbar / ist nicht anwendbar</t>
  </si>
  <si>
    <t>teilweise / kann nur teilweise umgesetzt werden</t>
  </si>
  <si>
    <t>mit Begrenzungen / abhängig von anderen Mengen</t>
  </si>
  <si>
    <t>in Klärung / derzeit nicht bekannt</t>
  </si>
  <si>
    <t>noch nicht bewertet</t>
  </si>
  <si>
    <t>complet / est entièrement applicable</t>
  </si>
  <si>
    <t>non applicable / n'est pas applicable</t>
  </si>
  <si>
    <t>partielle / ne peut être que partiellement mise en œuvre</t>
  </si>
  <si>
    <t>avec des limites / dépendant d'autres ensembles</t>
  </si>
  <si>
    <t>en cours de clarification / actuellement non connu</t>
  </si>
  <si>
    <t>pas encore évaluée</t>
  </si>
  <si>
    <t>è completamente applicabile</t>
  </si>
  <si>
    <t>non applicabile / non è applicabile</t>
  </si>
  <si>
    <t>parziale / può essere attuato solo parzialmente</t>
  </si>
  <si>
    <t>con confini / dipendenti da altri insiemi</t>
  </si>
  <si>
    <t>in fase di chiarimento / attualmente non è noto</t>
  </si>
  <si>
    <t>non ancora valutato</t>
  </si>
  <si>
    <t>Category (protection niveau) according to BFE: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</si>
</sst>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yyyy;@"/>
  </numFmts>
  <fonts count="61" x14ac:knownFonts="1">
    <font>
      <sz val="11"/>
      <color theme="1"/>
      <name val="Calibri"/>
      <family val="2"/>
      <scheme val="minor"/>
    </font>
    <font>
      <sz val="8"/>
      <name val="Calibri"/>
      <family val="2"/>
      <scheme val="minor"/>
    </font>
    <font>
      <sz val="10"/>
      <name val="Arial"/>
      <family val="2"/>
    </font>
    <font>
      <sz val="10"/>
      <color theme="1"/>
      <name val="Arial"/>
      <family val="2"/>
    </font>
    <font>
      <b/>
      <sz val="11"/>
      <color theme="1"/>
      <name val="Calibri"/>
      <family val="2"/>
      <scheme val="minor"/>
    </font>
    <font>
      <sz val="10"/>
      <color theme="1"/>
      <name val="Calibri"/>
      <family val="2"/>
      <scheme val="minor"/>
    </font>
    <font>
      <sz val="12"/>
      <color theme="1"/>
      <name val="Calibri"/>
      <family val="2"/>
      <scheme val="minor"/>
    </font>
    <font>
      <b/>
      <sz val="11"/>
      <name val="Calibri"/>
      <family val="2"/>
      <scheme val="minor"/>
    </font>
    <font>
      <b/>
      <sz val="12"/>
      <color indexed="9"/>
      <name val="Arial"/>
      <family val="2"/>
    </font>
    <font>
      <sz val="11"/>
      <name val="Calibri"/>
      <family val="2"/>
      <scheme val="minor"/>
    </font>
    <font>
      <b/>
      <sz val="10"/>
      <color theme="1"/>
      <name val="Calibri"/>
      <family val="2"/>
      <scheme val="minor"/>
    </font>
    <font>
      <b/>
      <sz val="11"/>
      <color rgb="FF231F20"/>
      <name val="Calibri"/>
      <family val="2"/>
      <scheme val="minor"/>
    </font>
    <font>
      <b/>
      <sz val="11"/>
      <color theme="0"/>
      <name val="Calibri"/>
      <family val="2"/>
      <scheme val="minor"/>
    </font>
    <font>
      <sz val="11"/>
      <color rgb="FFFF0000"/>
      <name val="Calibri"/>
      <family val="2"/>
      <scheme val="minor"/>
    </font>
    <font>
      <sz val="6"/>
      <color rgb="FF000000"/>
      <name val="Calibri"/>
      <family val="2"/>
      <scheme val="minor"/>
    </font>
    <font>
      <sz val="6"/>
      <color rgb="FF231F20"/>
      <name val="Calibri"/>
      <family val="2"/>
      <scheme val="minor"/>
    </font>
    <font>
      <sz val="11"/>
      <color theme="1"/>
      <name val="Calibri"/>
      <family val="2"/>
      <scheme val="minor"/>
    </font>
    <font>
      <sz val="12"/>
      <color theme="1"/>
      <name val="Arial"/>
      <family val="2"/>
    </font>
    <font>
      <b/>
      <sz val="14"/>
      <color theme="0"/>
      <name val="Arial"/>
      <family val="2"/>
    </font>
    <font>
      <sz val="12"/>
      <color theme="0"/>
      <name val="Arial"/>
      <family val="2"/>
    </font>
    <font>
      <b/>
      <sz val="16"/>
      <color theme="0"/>
      <name val="Arial"/>
      <family val="2"/>
    </font>
    <font>
      <b/>
      <sz val="18"/>
      <color theme="0"/>
      <name val="Arial"/>
      <family val="2"/>
    </font>
    <font>
      <b/>
      <sz val="16"/>
      <name val="Arial"/>
      <family val="2"/>
    </font>
    <font>
      <sz val="12"/>
      <color indexed="81"/>
      <name val="Arial"/>
      <family val="2"/>
    </font>
    <font>
      <b/>
      <sz val="12"/>
      <color rgb="FFFFFFFF"/>
      <name val="Arial"/>
      <family val="2"/>
    </font>
    <font>
      <b/>
      <sz val="12"/>
      <name val="Arial"/>
      <family val="2"/>
    </font>
    <font>
      <b/>
      <sz val="11"/>
      <name val="Arial"/>
      <family val="2"/>
    </font>
    <font>
      <sz val="11"/>
      <color indexed="81"/>
      <name val="Arial"/>
      <family val="2"/>
    </font>
    <font>
      <sz val="9"/>
      <color indexed="81"/>
      <name val="Segoe UI"/>
      <family val="2"/>
    </font>
    <font>
      <b/>
      <sz val="11"/>
      <color theme="0"/>
      <name val="Arial"/>
      <family val="2"/>
    </font>
    <font>
      <sz val="10"/>
      <color theme="0"/>
      <name val="Arial"/>
      <family val="2"/>
    </font>
    <font>
      <b/>
      <sz val="10"/>
      <name val="Arial"/>
      <family val="2"/>
    </font>
    <font>
      <sz val="10"/>
      <color rgb="FF000000"/>
      <name val="Arial"/>
      <family val="2"/>
    </font>
    <font>
      <b/>
      <sz val="10"/>
      <color rgb="FF231F20"/>
      <name val="Arial"/>
      <family val="2"/>
    </font>
    <font>
      <sz val="10"/>
      <color rgb="FF231F20"/>
      <name val="Arial"/>
      <family val="2"/>
    </font>
    <font>
      <b/>
      <sz val="20"/>
      <color theme="0"/>
      <name val="Arial"/>
      <family val="2"/>
    </font>
    <font>
      <b/>
      <sz val="12"/>
      <color theme="0"/>
      <name val="Arial"/>
      <family val="2"/>
    </font>
    <font>
      <b/>
      <sz val="10"/>
      <color theme="1"/>
      <name val="Arial"/>
      <family val="2"/>
    </font>
    <font>
      <i/>
      <sz val="8"/>
      <color rgb="FF0000FF"/>
      <name val="Arial"/>
      <family val="2"/>
    </font>
    <font>
      <b/>
      <sz val="12"/>
      <color theme="1"/>
      <name val="Arial"/>
      <family val="2"/>
    </font>
    <font>
      <b/>
      <sz val="14"/>
      <color theme="0"/>
      <name val="Calibri"/>
      <family val="2"/>
    </font>
    <font>
      <b/>
      <sz val="9"/>
      <color indexed="81"/>
      <name val="Segoe UI"/>
      <family val="2"/>
    </font>
    <font>
      <b/>
      <sz val="28"/>
      <color theme="0"/>
      <name val="Arial"/>
      <family val="2"/>
    </font>
    <font>
      <b/>
      <sz val="11"/>
      <color rgb="FF000000"/>
      <name val="Calibri"/>
      <family val="2"/>
      <scheme val="minor"/>
    </font>
    <font>
      <sz val="11"/>
      <color theme="1"/>
      <name val="Arial"/>
      <family val="2"/>
    </font>
    <font>
      <b/>
      <sz val="14"/>
      <name val="Arial"/>
      <family val="2"/>
    </font>
    <font>
      <b/>
      <sz val="11"/>
      <color theme="1"/>
      <name val="Arial"/>
      <family val="2"/>
    </font>
    <font>
      <sz val="16"/>
      <color theme="1"/>
      <name val="Arial"/>
      <family val="2"/>
    </font>
    <font>
      <b/>
      <sz val="10"/>
      <color theme="0"/>
      <name val="Arial"/>
      <family val="2"/>
    </font>
    <font>
      <sz val="11"/>
      <color rgb="FF000000"/>
      <name val="Calibri"/>
      <family val="2"/>
      <scheme val="minor"/>
    </font>
    <font>
      <sz val="8"/>
      <color theme="0"/>
      <name val="Arial"/>
      <family val="2"/>
    </font>
    <font>
      <b/>
      <sz val="16"/>
      <color theme="1"/>
      <name val="Arial"/>
      <family val="2"/>
    </font>
    <font>
      <b/>
      <sz val="14"/>
      <color theme="1"/>
      <name val="Arial"/>
      <family val="2"/>
    </font>
    <font>
      <sz val="14"/>
      <color theme="1"/>
      <name val="Arial"/>
      <family val="2"/>
    </font>
    <font>
      <sz val="16"/>
      <color theme="1"/>
      <name val="Calibri"/>
      <family val="2"/>
      <scheme val="minor"/>
    </font>
    <font>
      <b/>
      <sz val="16"/>
      <color rgb="FF000000"/>
      <name val="Calibri"/>
      <family val="2"/>
      <scheme val="minor"/>
    </font>
    <font>
      <sz val="16"/>
      <name val="Calibri"/>
      <family val="2"/>
      <scheme val="minor"/>
    </font>
    <font>
      <sz val="16"/>
      <color rgb="FF000000"/>
      <name val="Calibri"/>
      <family val="2"/>
      <scheme val="minor"/>
    </font>
    <font>
      <sz val="10"/>
      <color rgb="FF221F1F"/>
      <name val="Cambria"/>
      <family val="1"/>
    </font>
    <font>
      <b/>
      <sz val="14"/>
      <color rgb="FFFF0000"/>
      <name val="Arial"/>
      <family val="2"/>
    </font>
    <font>
      <b/>
      <sz val="24"/>
      <color theme="1"/>
      <name val="Calibri"/>
      <family val="2"/>
      <scheme val="minor"/>
    </font>
  </fonts>
  <fills count="15">
    <fill>
      <patternFill patternType="none"/>
    </fill>
    <fill>
      <patternFill patternType="gray125"/>
    </fill>
    <fill>
      <patternFill patternType="solid">
        <fgColor theme="4" tint="0.79998168889431442"/>
        <bgColor indexed="64"/>
      </patternFill>
    </fill>
    <fill>
      <patternFill patternType="solid">
        <fgColor indexed="52"/>
        <bgColor indexed="19"/>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C8D74A"/>
        <bgColor indexed="64"/>
      </patternFill>
    </fill>
    <fill>
      <patternFill patternType="solid">
        <fgColor rgb="FFFFCDCD"/>
        <bgColor indexed="64"/>
      </patternFill>
    </fill>
    <fill>
      <patternFill patternType="solid">
        <fgColor theme="8" tint="0.79998168889431442"/>
        <bgColor indexed="64"/>
      </patternFill>
    </fill>
    <fill>
      <patternFill patternType="solid">
        <fgColor rgb="FFFFFFCC"/>
        <bgColor indexed="64"/>
      </patternFill>
    </fill>
    <fill>
      <patternFill patternType="solid">
        <fgColor rgb="FF669900"/>
        <bgColor indexed="64"/>
      </patternFill>
    </fill>
    <fill>
      <patternFill patternType="solid">
        <fgColor rgb="FFEBF0BA"/>
        <bgColor indexed="64"/>
      </patternFill>
    </fill>
    <fill>
      <patternFill patternType="solid">
        <fgColor theme="6" tint="0.79998168889431442"/>
        <bgColor indexed="64"/>
      </patternFill>
    </fill>
    <fill>
      <patternFill patternType="solid">
        <fgColor rgb="FF00FF00"/>
        <bgColor indexed="64"/>
      </patternFill>
    </fill>
  </fills>
  <borders count="152">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medium">
        <color indexed="64"/>
      </top>
      <bottom/>
      <diagonal/>
    </border>
    <border>
      <left style="medium">
        <color auto="1"/>
      </left>
      <right style="hair">
        <color auto="1"/>
      </right>
      <top/>
      <bottom/>
      <diagonal/>
    </border>
    <border>
      <left style="hair">
        <color auto="1"/>
      </left>
      <right style="hair">
        <color auto="1"/>
      </right>
      <top/>
      <bottom/>
      <diagonal/>
    </border>
    <border>
      <left style="hair">
        <color auto="1"/>
      </left>
      <right style="thin">
        <color indexed="64"/>
      </right>
      <top style="thin">
        <color indexed="64"/>
      </top>
      <bottom style="hair">
        <color indexed="64"/>
      </bottom>
      <diagonal/>
    </border>
    <border>
      <left style="hair">
        <color auto="1"/>
      </left>
      <right style="hair">
        <color auto="1"/>
      </right>
      <top style="hair">
        <color indexed="64"/>
      </top>
      <bottom style="hair">
        <color indexed="64"/>
      </bottom>
      <diagonal/>
    </border>
    <border>
      <left style="hair">
        <color auto="1"/>
      </left>
      <right style="thin">
        <color indexed="64"/>
      </right>
      <top style="hair">
        <color indexed="64"/>
      </top>
      <bottom style="hair">
        <color indexed="64"/>
      </bottom>
      <diagonal/>
    </border>
    <border>
      <left style="hair">
        <color auto="1"/>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auto="1"/>
      </left>
      <right style="thin">
        <color auto="1"/>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diagonal/>
    </border>
    <border>
      <left/>
      <right/>
      <top/>
      <bottom style="thin">
        <color indexed="64"/>
      </bottom>
      <diagonal/>
    </border>
    <border>
      <left/>
      <right style="hair">
        <color auto="1"/>
      </right>
      <top/>
      <bottom/>
      <diagonal/>
    </border>
    <border>
      <left style="thin">
        <color auto="1"/>
      </left>
      <right/>
      <top style="thin">
        <color auto="1"/>
      </top>
      <bottom/>
      <diagonal/>
    </border>
    <border>
      <left/>
      <right style="thin">
        <color auto="1"/>
      </right>
      <top style="thin">
        <color auto="1"/>
      </top>
      <bottom/>
      <diagonal/>
    </border>
    <border>
      <left style="thin">
        <color indexed="64"/>
      </left>
      <right style="hair">
        <color indexed="64"/>
      </right>
      <top style="hair">
        <color indexed="64"/>
      </top>
      <bottom/>
      <diagonal/>
    </border>
    <border>
      <left style="thin">
        <color auto="1"/>
      </left>
      <right/>
      <top/>
      <bottom/>
      <diagonal/>
    </border>
    <border>
      <left/>
      <right style="thin">
        <color auto="1"/>
      </right>
      <top/>
      <bottom/>
      <diagonal/>
    </border>
    <border>
      <left style="thin">
        <color auto="1"/>
      </left>
      <right style="thin">
        <color auto="1"/>
      </right>
      <top/>
      <bottom style="hair">
        <color auto="1"/>
      </bottom>
      <diagonal/>
    </border>
    <border>
      <left style="hair">
        <color theme="0"/>
      </left>
      <right style="thin">
        <color theme="0"/>
      </right>
      <top style="medium">
        <color theme="0"/>
      </top>
      <bottom/>
      <diagonal/>
    </border>
    <border>
      <left style="thin">
        <color theme="0"/>
      </left>
      <right/>
      <top style="medium">
        <color theme="0"/>
      </top>
      <bottom/>
      <diagonal/>
    </border>
    <border>
      <left/>
      <right/>
      <top style="medium">
        <color theme="0"/>
      </top>
      <bottom/>
      <diagonal/>
    </border>
    <border>
      <left style="hair">
        <color indexed="64"/>
      </left>
      <right/>
      <top/>
      <bottom/>
      <diagonal/>
    </border>
    <border>
      <left style="hair">
        <color indexed="64"/>
      </left>
      <right style="hair">
        <color indexed="64"/>
      </right>
      <top/>
      <bottom style="medium">
        <color auto="1"/>
      </bottom>
      <diagonal/>
    </border>
    <border>
      <left/>
      <right style="hair">
        <color auto="1"/>
      </right>
      <top/>
      <bottom style="medium">
        <color indexed="64"/>
      </bottom>
      <diagonal/>
    </border>
    <border>
      <left style="hair">
        <color indexed="64"/>
      </left>
      <right/>
      <top/>
      <bottom style="medium">
        <color auto="1"/>
      </bottom>
      <diagonal/>
    </border>
    <border>
      <left style="thin">
        <color indexed="64"/>
      </left>
      <right style="hair">
        <color indexed="64"/>
      </right>
      <top/>
      <bottom style="medium">
        <color auto="1"/>
      </bottom>
      <diagonal/>
    </border>
    <border>
      <left style="hair">
        <color indexed="64"/>
      </left>
      <right style="thin">
        <color indexed="64"/>
      </right>
      <top/>
      <bottom style="medium">
        <color auto="1"/>
      </bottom>
      <diagonal/>
    </border>
    <border>
      <left/>
      <right style="hair">
        <color theme="0"/>
      </right>
      <top/>
      <bottom/>
      <diagonal/>
    </border>
    <border>
      <left/>
      <right/>
      <top/>
      <bottom style="medium">
        <color theme="0"/>
      </bottom>
      <diagonal/>
    </border>
    <border>
      <left/>
      <right style="hair">
        <color theme="0"/>
      </right>
      <top style="medium">
        <color theme="0"/>
      </top>
      <bottom/>
      <diagonal/>
    </border>
    <border>
      <left style="hair">
        <color theme="0"/>
      </left>
      <right style="hair">
        <color theme="0"/>
      </right>
      <top style="medium">
        <color theme="0"/>
      </top>
      <bottom/>
      <diagonal/>
    </border>
    <border>
      <left style="hair">
        <color theme="0"/>
      </left>
      <right style="hair">
        <color theme="0"/>
      </right>
      <top/>
      <bottom/>
      <diagonal/>
    </border>
    <border>
      <left style="hair">
        <color indexed="64"/>
      </left>
      <right style="hair">
        <color auto="1"/>
      </right>
      <top/>
      <bottom style="hair">
        <color auto="1"/>
      </bottom>
      <diagonal/>
    </border>
    <border>
      <left style="hair">
        <color auto="1"/>
      </left>
      <right style="thin">
        <color indexed="64"/>
      </right>
      <top/>
      <bottom style="hair">
        <color indexed="64"/>
      </bottom>
      <diagonal/>
    </border>
    <border>
      <left style="thin">
        <color indexed="64"/>
      </left>
      <right style="hair">
        <color indexed="64"/>
      </right>
      <top/>
      <bottom style="hair">
        <color indexed="64"/>
      </bottom>
      <diagonal/>
    </border>
    <border>
      <left/>
      <right style="hair">
        <color theme="0"/>
      </right>
      <top/>
      <bottom style="medium">
        <color auto="1"/>
      </bottom>
      <diagonal/>
    </border>
    <border>
      <left style="hair">
        <color theme="0"/>
      </left>
      <right style="hair">
        <color theme="0"/>
      </right>
      <top/>
      <bottom style="medium">
        <color auto="1"/>
      </bottom>
      <diagonal/>
    </border>
    <border>
      <left style="medium">
        <color auto="1"/>
      </left>
      <right style="hair">
        <color auto="1"/>
      </right>
      <top style="medium">
        <color auto="1"/>
      </top>
      <bottom/>
      <diagonal/>
    </border>
    <border>
      <left style="hair">
        <color indexed="64"/>
      </left>
      <right style="hair">
        <color auto="1"/>
      </right>
      <top style="medium">
        <color auto="1"/>
      </top>
      <bottom style="hair">
        <color auto="1"/>
      </bottom>
      <diagonal/>
    </border>
    <border>
      <left style="hair">
        <color auto="1"/>
      </left>
      <right style="thin">
        <color indexed="64"/>
      </right>
      <top style="medium">
        <color auto="1"/>
      </top>
      <bottom style="hair">
        <color indexed="64"/>
      </bottom>
      <diagonal/>
    </border>
    <border>
      <left style="thin">
        <color indexed="64"/>
      </left>
      <right style="hair">
        <color indexed="64"/>
      </right>
      <top style="medium">
        <color auto="1"/>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theme="0"/>
      </left>
      <right/>
      <top/>
      <bottom/>
      <diagonal/>
    </border>
    <border>
      <left style="hair">
        <color theme="0"/>
      </left>
      <right/>
      <top/>
      <bottom style="medium">
        <color auto="1"/>
      </bottom>
      <diagonal/>
    </border>
    <border>
      <left style="medium">
        <color theme="0"/>
      </left>
      <right style="medium">
        <color theme="0"/>
      </right>
      <top style="medium">
        <color theme="0"/>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hair">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thin">
        <color indexed="64"/>
      </bottom>
      <diagonal/>
    </border>
    <border>
      <left style="medium">
        <color auto="1"/>
      </left>
      <right/>
      <top style="hair">
        <color auto="1"/>
      </top>
      <bottom style="medium">
        <color auto="1"/>
      </bottom>
      <diagonal/>
    </border>
    <border>
      <left/>
      <right style="medium">
        <color auto="1"/>
      </right>
      <top style="hair">
        <color auto="1"/>
      </top>
      <bottom style="medium">
        <color auto="1"/>
      </bottom>
      <diagonal/>
    </border>
    <border>
      <left style="medium">
        <color auto="1"/>
      </left>
      <right/>
      <top/>
      <bottom/>
      <diagonal/>
    </border>
    <border>
      <left/>
      <right style="medium">
        <color auto="1"/>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hair">
        <color auto="1"/>
      </top>
      <bottom style="thin">
        <color indexed="64"/>
      </bottom>
      <diagonal/>
    </border>
    <border>
      <left style="medium">
        <color auto="1"/>
      </left>
      <right/>
      <top style="thin">
        <color indexed="64"/>
      </top>
      <bottom style="thin">
        <color auto="1"/>
      </bottom>
      <diagonal/>
    </border>
    <border>
      <left/>
      <right style="medium">
        <color auto="1"/>
      </right>
      <top style="thin">
        <color indexed="64"/>
      </top>
      <bottom style="thin">
        <color auto="1"/>
      </bottom>
      <diagonal/>
    </border>
    <border>
      <left/>
      <right style="medium">
        <color auto="1"/>
      </right>
      <top style="hair">
        <color auto="1"/>
      </top>
      <bottom/>
      <diagonal/>
    </border>
    <border>
      <left style="medium">
        <color auto="1"/>
      </left>
      <right/>
      <top style="hair">
        <color auto="1"/>
      </top>
      <bottom/>
      <diagonal/>
    </border>
    <border>
      <left/>
      <right style="thin">
        <color indexed="64"/>
      </right>
      <top/>
      <bottom style="thin">
        <color indexed="64"/>
      </bottom>
      <diagonal/>
    </border>
    <border>
      <left style="thin">
        <color auto="1"/>
      </left>
      <right style="thin">
        <color auto="1"/>
      </right>
      <top/>
      <bottom/>
      <diagonal/>
    </border>
    <border>
      <left/>
      <right/>
      <top style="thin">
        <color auto="1"/>
      </top>
      <bottom/>
      <diagonal/>
    </border>
    <border>
      <left style="thin">
        <color indexed="64"/>
      </left>
      <right style="thin">
        <color indexed="64"/>
      </right>
      <top/>
      <bottom style="thin">
        <color indexed="64"/>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thin">
        <color rgb="FFC8D74A"/>
      </bottom>
      <diagonal/>
    </border>
    <border>
      <left style="hair">
        <color theme="0"/>
      </left>
      <right/>
      <top/>
      <bottom style="hair">
        <color indexed="64"/>
      </bottom>
      <diagonal/>
    </border>
    <border>
      <left/>
      <right style="hair">
        <color theme="0"/>
      </right>
      <top/>
      <bottom style="hair">
        <color indexed="64"/>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style="medium">
        <color theme="0"/>
      </right>
      <top/>
      <bottom style="medium">
        <color theme="0"/>
      </bottom>
      <diagonal/>
    </border>
    <border>
      <left/>
      <right style="medium">
        <color theme="0"/>
      </right>
      <top/>
      <bottom style="thin">
        <color rgb="FFC8D74A"/>
      </bottom>
      <diagonal/>
    </border>
    <border>
      <left style="hair">
        <color theme="0"/>
      </left>
      <right style="medium">
        <color theme="0"/>
      </right>
      <top/>
      <bottom/>
      <diagonal/>
    </border>
    <border>
      <left style="medium">
        <color theme="0"/>
      </left>
      <right style="hair">
        <color auto="1"/>
      </right>
      <top style="hair">
        <color auto="1"/>
      </top>
      <bottom style="hair">
        <color auto="1"/>
      </bottom>
      <diagonal/>
    </border>
    <border>
      <left style="medium">
        <color theme="0"/>
      </left>
      <right style="hair">
        <color theme="0"/>
      </right>
      <top/>
      <bottom/>
      <diagonal/>
    </border>
    <border>
      <left style="hair">
        <color auto="1"/>
      </left>
      <right style="thin">
        <color rgb="FFC8D74A"/>
      </right>
      <top style="hair">
        <color indexed="64"/>
      </top>
      <bottom style="thin">
        <color rgb="FFC8D74A"/>
      </bottom>
      <diagonal/>
    </border>
    <border>
      <left style="thin">
        <color rgb="FFC8D74A"/>
      </left>
      <right style="thin">
        <color rgb="FFC8D74A"/>
      </right>
      <top style="hair">
        <color indexed="64"/>
      </top>
      <bottom style="thin">
        <color rgb="FFC8D74A"/>
      </bottom>
      <diagonal/>
    </border>
    <border>
      <left style="thin">
        <color rgb="FFC8D74A"/>
      </left>
      <right style="medium">
        <color theme="0"/>
      </right>
      <top style="hair">
        <color indexed="64"/>
      </top>
      <bottom style="thin">
        <color rgb="FFC8D74A"/>
      </bottom>
      <diagonal/>
    </border>
    <border>
      <left style="hair">
        <color auto="1"/>
      </left>
      <right style="thin">
        <color rgb="FFC8D74A"/>
      </right>
      <top style="thin">
        <color rgb="FFC8D74A"/>
      </top>
      <bottom style="thin">
        <color rgb="FFC8D74A"/>
      </bottom>
      <diagonal/>
    </border>
    <border>
      <left style="thin">
        <color rgb="FFC8D74A"/>
      </left>
      <right style="thin">
        <color rgb="FFC8D74A"/>
      </right>
      <top style="thin">
        <color rgb="FFC8D74A"/>
      </top>
      <bottom style="thin">
        <color rgb="FFC8D74A"/>
      </bottom>
      <diagonal/>
    </border>
    <border>
      <left style="thin">
        <color rgb="FFC8D74A"/>
      </left>
      <right style="medium">
        <color theme="0"/>
      </right>
      <top style="thin">
        <color rgb="FFC8D74A"/>
      </top>
      <bottom style="thin">
        <color rgb="FFC8D74A"/>
      </bottom>
      <diagonal/>
    </border>
    <border>
      <left/>
      <right/>
      <top style="thin">
        <color rgb="FFC8D74A"/>
      </top>
      <bottom/>
      <diagonal/>
    </border>
    <border>
      <left style="medium">
        <color theme="0"/>
      </left>
      <right style="hair">
        <color auto="1"/>
      </right>
      <top style="hair">
        <color auto="1"/>
      </top>
      <bottom style="medium">
        <color theme="0"/>
      </bottom>
      <diagonal/>
    </border>
    <border>
      <left style="hair">
        <color auto="1"/>
      </left>
      <right style="hair">
        <color auto="1"/>
      </right>
      <top style="hair">
        <color auto="1"/>
      </top>
      <bottom style="medium">
        <color theme="0"/>
      </bottom>
      <diagonal/>
    </border>
    <border>
      <left style="hair">
        <color auto="1"/>
      </left>
      <right style="thin">
        <color rgb="FFC8D74A"/>
      </right>
      <top style="thin">
        <color rgb="FFC8D74A"/>
      </top>
      <bottom style="medium">
        <color theme="0"/>
      </bottom>
      <diagonal/>
    </border>
    <border>
      <left style="thin">
        <color rgb="FFC8D74A"/>
      </left>
      <right style="thin">
        <color rgb="FFC8D74A"/>
      </right>
      <top style="thin">
        <color rgb="FFC8D74A"/>
      </top>
      <bottom style="medium">
        <color theme="0"/>
      </bottom>
      <diagonal/>
    </border>
    <border>
      <left style="thin">
        <color rgb="FFC8D74A"/>
      </left>
      <right style="medium">
        <color theme="0"/>
      </right>
      <top style="thin">
        <color rgb="FFC8D74A"/>
      </top>
      <bottom style="medium">
        <color theme="0"/>
      </bottom>
      <diagonal/>
    </border>
    <border>
      <left style="medium">
        <color theme="0"/>
      </left>
      <right style="hair">
        <color rgb="FFC8D74A"/>
      </right>
      <top/>
      <bottom style="thin">
        <color rgb="FFC8D74A"/>
      </bottom>
      <diagonal/>
    </border>
    <border>
      <left style="hair">
        <color rgb="FFC8D74A"/>
      </left>
      <right style="hair">
        <color rgb="FFC8D74A"/>
      </right>
      <top/>
      <bottom style="thin">
        <color rgb="FFC8D74A"/>
      </bottom>
      <diagonal/>
    </border>
    <border>
      <left style="hair">
        <color rgb="FFC8D74A"/>
      </left>
      <right style="medium">
        <color theme="0"/>
      </right>
      <top/>
      <bottom style="thin">
        <color rgb="FFC8D74A"/>
      </bottom>
      <diagonal/>
    </border>
    <border>
      <left style="medium">
        <color theme="0"/>
      </left>
      <right style="hair">
        <color rgb="FFC8D74A"/>
      </right>
      <top style="thin">
        <color rgb="FFC8D74A"/>
      </top>
      <bottom style="thin">
        <color rgb="FFC8D74A"/>
      </bottom>
      <diagonal/>
    </border>
    <border>
      <left style="hair">
        <color rgb="FFC8D74A"/>
      </left>
      <right style="hair">
        <color rgb="FFC8D74A"/>
      </right>
      <top style="thin">
        <color rgb="FFC8D74A"/>
      </top>
      <bottom style="thin">
        <color rgb="FFC8D74A"/>
      </bottom>
      <diagonal/>
    </border>
    <border>
      <left style="hair">
        <color rgb="FFC8D74A"/>
      </left>
      <right style="medium">
        <color theme="0"/>
      </right>
      <top style="thin">
        <color rgb="FFC8D74A"/>
      </top>
      <bottom style="thin">
        <color rgb="FFC8D74A"/>
      </bottom>
      <diagonal/>
    </border>
    <border>
      <left style="medium">
        <color theme="0"/>
      </left>
      <right style="hair">
        <color rgb="FFC8D74A"/>
      </right>
      <top style="thin">
        <color rgb="FFC8D74A"/>
      </top>
      <bottom/>
      <diagonal/>
    </border>
    <border>
      <left style="hair">
        <color rgb="FFC8D74A"/>
      </left>
      <right style="hair">
        <color rgb="FFC8D74A"/>
      </right>
      <top style="thin">
        <color rgb="FFC8D74A"/>
      </top>
      <bottom/>
      <diagonal/>
    </border>
    <border>
      <left style="hair">
        <color rgb="FFC8D74A"/>
      </left>
      <right style="medium">
        <color theme="0"/>
      </right>
      <top style="thin">
        <color rgb="FFC8D74A"/>
      </top>
      <bottom/>
      <diagonal/>
    </border>
    <border>
      <left style="thin">
        <color indexed="64"/>
      </left>
      <right style="medium">
        <color indexed="64"/>
      </right>
      <top/>
      <bottom/>
      <diagonal/>
    </border>
    <border>
      <left style="thin">
        <color auto="1"/>
      </left>
      <right style="thin">
        <color auto="1"/>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auto="1"/>
      </left>
      <right style="hair">
        <color auto="1"/>
      </right>
      <top style="hair">
        <color auto="1"/>
      </top>
      <bottom/>
      <diagonal/>
    </border>
    <border>
      <left style="hair">
        <color auto="1"/>
      </left>
      <right style="thin">
        <color indexed="64"/>
      </right>
      <top style="hair">
        <color auto="1"/>
      </top>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auto="1"/>
      </left>
      <right/>
      <top/>
      <bottom style="medium">
        <color auto="1"/>
      </bottom>
      <diagonal/>
    </border>
    <border>
      <left/>
      <right/>
      <top style="medium">
        <color indexed="64"/>
      </top>
      <bottom style="medium">
        <color indexed="64"/>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theme="0"/>
      </left>
      <right/>
      <top style="medium">
        <color theme="0"/>
      </top>
      <bottom/>
      <diagonal/>
    </border>
    <border>
      <left style="hair">
        <color auto="1"/>
      </left>
      <right/>
      <top style="medium">
        <color auto="1"/>
      </top>
      <bottom style="hair">
        <color indexed="64"/>
      </bottom>
      <diagonal/>
    </border>
    <border>
      <left style="hair">
        <color auto="1"/>
      </left>
      <right/>
      <top style="hair">
        <color indexed="64"/>
      </top>
      <bottom style="hair">
        <color indexed="64"/>
      </bottom>
      <diagonal/>
    </border>
    <border>
      <left style="hair">
        <color auto="1"/>
      </left>
      <right/>
      <top style="hair">
        <color auto="1"/>
      </top>
      <bottom/>
      <diagonal/>
    </border>
    <border>
      <left style="hair">
        <color indexed="64"/>
      </left>
      <right/>
      <top style="thin">
        <color indexed="64"/>
      </top>
      <bottom style="medium">
        <color indexed="64"/>
      </bottom>
      <diagonal/>
    </border>
    <border>
      <left style="hair">
        <color auto="1"/>
      </left>
      <right/>
      <top/>
      <bottom style="hair">
        <color indexed="64"/>
      </bottom>
      <diagonal/>
    </border>
    <border>
      <left/>
      <right style="medium">
        <color theme="0"/>
      </right>
      <top/>
      <bottom style="medium">
        <color auto="1"/>
      </bottom>
      <diagonal/>
    </border>
    <border>
      <left/>
      <right style="medium">
        <color auto="1"/>
      </right>
      <top style="medium">
        <color auto="1"/>
      </top>
      <bottom style="hair">
        <color auto="1"/>
      </bottom>
      <diagonal/>
    </border>
    <border>
      <left/>
      <right style="medium">
        <color indexed="64"/>
      </right>
      <top style="thin">
        <color indexed="64"/>
      </top>
      <bottom style="medium">
        <color indexed="64"/>
      </bottom>
      <diagonal/>
    </border>
    <border>
      <left style="medium">
        <color theme="0"/>
      </left>
      <right/>
      <top style="medium">
        <color theme="0"/>
      </top>
      <bottom style="thin">
        <color auto="1"/>
      </bottom>
      <diagonal/>
    </border>
    <border>
      <left/>
      <right style="medium">
        <color theme="0"/>
      </right>
      <top style="medium">
        <color theme="0"/>
      </top>
      <bottom style="thin">
        <color auto="1"/>
      </bottom>
      <diagonal/>
    </border>
  </borders>
  <cellStyleXfs count="7">
    <xf numFmtId="0" fontId="0" fillId="0" borderId="0"/>
    <xf numFmtId="0" fontId="2" fillId="0" borderId="0"/>
    <xf numFmtId="0" fontId="2" fillId="0" borderId="0"/>
    <xf numFmtId="0" fontId="8" fillId="3" borderId="0" applyNumberFormat="0" applyBorder="0" applyProtection="0">
      <alignment horizontal="center" vertical="center"/>
    </xf>
    <xf numFmtId="0" fontId="16" fillId="0" borderId="0"/>
    <xf numFmtId="0" fontId="6" fillId="0" borderId="0"/>
    <xf numFmtId="9" fontId="16" fillId="0" borderId="0" applyFont="0" applyFill="0" applyBorder="0" applyAlignment="0" applyProtection="0"/>
  </cellStyleXfs>
  <cellXfs count="475">
    <xf numFmtId="0" fontId="0" fillId="0" borderId="0" xfId="0"/>
    <xf numFmtId="14" fontId="0" fillId="0" borderId="0" xfId="0" applyNumberFormat="1"/>
    <xf numFmtId="49" fontId="0" fillId="0" borderId="0" xfId="0" applyNumberFormat="1"/>
    <xf numFmtId="0" fontId="3" fillId="0" borderId="0" xfId="0" applyFont="1"/>
    <xf numFmtId="0" fontId="5" fillId="0" borderId="0" xfId="0" applyFont="1"/>
    <xf numFmtId="0" fontId="10" fillId="0" borderId="0" xfId="0" applyFont="1"/>
    <xf numFmtId="0" fontId="0" fillId="0" borderId="0" xfId="0" applyAlignment="1">
      <alignment horizontal="left" wrapText="1"/>
    </xf>
    <xf numFmtId="0" fontId="17" fillId="7" borderId="0" xfId="0" applyFont="1" applyFill="1"/>
    <xf numFmtId="0" fontId="17" fillId="7" borderId="0" xfId="0" applyFont="1" applyFill="1" applyAlignment="1">
      <alignment horizontal="left"/>
    </xf>
    <xf numFmtId="0" fontId="18" fillId="7" borderId="0" xfId="0" applyFont="1" applyFill="1" applyAlignment="1">
      <alignment vertical="center"/>
    </xf>
    <xf numFmtId="0" fontId="19" fillId="7" borderId="0" xfId="0" applyFont="1" applyFill="1" applyAlignment="1">
      <alignment horizontal="left"/>
    </xf>
    <xf numFmtId="0" fontId="19" fillId="7" borderId="0" xfId="0" applyFont="1" applyFill="1"/>
    <xf numFmtId="0" fontId="18" fillId="7" borderId="0" xfId="0" applyFont="1" applyFill="1" applyAlignment="1">
      <alignment horizontal="left" vertical="center"/>
    </xf>
    <xf numFmtId="0" fontId="17" fillId="7" borderId="0" xfId="0" applyFont="1" applyFill="1" applyAlignment="1">
      <alignment horizontal="left" vertical="center"/>
    </xf>
    <xf numFmtId="0" fontId="20" fillId="7" borderId="0" xfId="0" applyFont="1" applyFill="1" applyAlignment="1">
      <alignment vertical="center"/>
    </xf>
    <xf numFmtId="0" fontId="21" fillId="7" borderId="0" xfId="0" applyFont="1" applyFill="1" applyAlignment="1">
      <alignment vertical="center"/>
    </xf>
    <xf numFmtId="0" fontId="21" fillId="7" borderId="0" xfId="0" applyFont="1" applyFill="1" applyAlignment="1">
      <alignment horizontal="left" vertical="center"/>
    </xf>
    <xf numFmtId="0" fontId="19" fillId="7" borderId="0" xfId="0" applyFont="1" applyFill="1" applyAlignment="1">
      <alignment horizontal="center" vertical="center"/>
    </xf>
    <xf numFmtId="0" fontId="19" fillId="7" borderId="0" xfId="0" applyFont="1" applyFill="1" applyAlignment="1">
      <alignment horizontal="left" vertical="center"/>
    </xf>
    <xf numFmtId="0" fontId="24" fillId="7" borderId="25" xfId="0" applyFont="1" applyFill="1" applyBorder="1" applyAlignment="1">
      <alignment horizontal="center" vertical="center" wrapText="1"/>
    </xf>
    <xf numFmtId="0" fontId="31" fillId="0" borderId="8" xfId="2" applyFont="1" applyBorder="1" applyAlignment="1" applyProtection="1">
      <alignment horizontal="left" vertical="center" wrapText="1"/>
      <protection locked="0"/>
    </xf>
    <xf numFmtId="0" fontId="32" fillId="0" borderId="8" xfId="0" applyFont="1" applyBorder="1" applyAlignment="1">
      <alignment horizontal="left" vertical="center" wrapText="1"/>
    </xf>
    <xf numFmtId="0" fontId="31" fillId="4" borderId="8" xfId="2" applyFont="1" applyFill="1" applyBorder="1" applyAlignment="1" applyProtection="1">
      <alignment horizontal="left" vertical="center" wrapText="1"/>
      <protection locked="0"/>
    </xf>
    <xf numFmtId="0" fontId="33" fillId="0" borderId="8" xfId="0" applyFont="1" applyBorder="1" applyAlignment="1">
      <alignment horizontal="left" vertical="center" wrapText="1"/>
    </xf>
    <xf numFmtId="0" fontId="33" fillId="2" borderId="8" xfId="0" applyFont="1" applyFill="1" applyBorder="1" applyAlignment="1">
      <alignment horizontal="left" vertical="center" wrapText="1"/>
    </xf>
    <xf numFmtId="0" fontId="33" fillId="5" borderId="8" xfId="0" applyFont="1" applyFill="1" applyBorder="1" applyAlignment="1">
      <alignment horizontal="center" vertical="center" wrapText="1"/>
    </xf>
    <xf numFmtId="0" fontId="34" fillId="0" borderId="8" xfId="0" applyFont="1" applyBorder="1" applyAlignment="1">
      <alignment horizontal="left" vertical="center" wrapText="1"/>
    </xf>
    <xf numFmtId="0" fontId="3" fillId="7" borderId="0" xfId="0" applyFont="1" applyFill="1"/>
    <xf numFmtId="0" fontId="19" fillId="7" borderId="35" xfId="0" applyFont="1" applyFill="1" applyBorder="1"/>
    <xf numFmtId="0" fontId="30" fillId="7" borderId="35" xfId="0" applyFont="1" applyFill="1" applyBorder="1" applyAlignment="1">
      <alignment horizontal="left" vertical="top"/>
    </xf>
    <xf numFmtId="0" fontId="30" fillId="7" borderId="35" xfId="0" applyFont="1" applyFill="1" applyBorder="1" applyAlignment="1">
      <alignment horizontal="left"/>
    </xf>
    <xf numFmtId="0" fontId="3" fillId="7" borderId="35" xfId="0" applyFont="1" applyFill="1" applyBorder="1"/>
    <xf numFmtId="0" fontId="29" fillId="7" borderId="38" xfId="0" applyFont="1" applyFill="1" applyBorder="1" applyAlignment="1">
      <alignment horizontal="center" vertical="center" wrapText="1"/>
    </xf>
    <xf numFmtId="0" fontId="0" fillId="7" borderId="0" xfId="0" applyFill="1"/>
    <xf numFmtId="0" fontId="17" fillId="7" borderId="35" xfId="0" applyFont="1" applyFill="1" applyBorder="1" applyAlignment="1">
      <alignment horizontal="left"/>
    </xf>
    <xf numFmtId="0" fontId="17" fillId="7" borderId="35" xfId="0" applyFont="1" applyFill="1" applyBorder="1"/>
    <xf numFmtId="0" fontId="17" fillId="7" borderId="35" xfId="0" applyFont="1" applyFill="1" applyBorder="1" applyAlignment="1">
      <alignment horizontal="left" vertical="center"/>
    </xf>
    <xf numFmtId="0" fontId="5" fillId="7" borderId="0" xfId="0" applyFont="1" applyFill="1"/>
    <xf numFmtId="0" fontId="10" fillId="7" borderId="0" xfId="0" applyFont="1" applyFill="1"/>
    <xf numFmtId="0" fontId="0" fillId="7" borderId="0" xfId="0" applyFill="1" applyAlignment="1">
      <alignment horizontal="left" wrapText="1"/>
    </xf>
    <xf numFmtId="0" fontId="32" fillId="0" borderId="39" xfId="0" applyFont="1" applyBorder="1" applyAlignment="1">
      <alignment horizontal="left" vertical="center" wrapText="1"/>
    </xf>
    <xf numFmtId="0" fontId="33" fillId="0" borderId="39" xfId="0" applyFont="1" applyBorder="1" applyAlignment="1">
      <alignment horizontal="left" vertical="center" wrapText="1"/>
    </xf>
    <xf numFmtId="0" fontId="33" fillId="5" borderId="39" xfId="0" applyFont="1" applyFill="1" applyBorder="1" applyAlignment="1">
      <alignment horizontal="center" vertical="center" wrapText="1"/>
    </xf>
    <xf numFmtId="0" fontId="33" fillId="2" borderId="39" xfId="0" applyFont="1" applyFill="1" applyBorder="1" applyAlignment="1">
      <alignment horizontal="left" vertical="center" wrapText="1"/>
    </xf>
    <xf numFmtId="0" fontId="31" fillId="4" borderId="45" xfId="2" applyFont="1" applyFill="1" applyBorder="1" applyAlignment="1" applyProtection="1">
      <alignment horizontal="left" vertical="center" wrapText="1"/>
      <protection locked="0"/>
    </xf>
    <xf numFmtId="0" fontId="31" fillId="0" borderId="45" xfId="2" applyFont="1" applyBorder="1" applyAlignment="1" applyProtection="1">
      <alignment horizontal="left" vertical="center" wrapText="1"/>
      <protection locked="0"/>
    </xf>
    <xf numFmtId="0" fontId="32" fillId="0" borderId="45" xfId="0" applyFont="1" applyBorder="1" applyAlignment="1">
      <alignment horizontal="left" vertical="center" wrapText="1"/>
    </xf>
    <xf numFmtId="0" fontId="17" fillId="7" borderId="0" xfId="5" applyFont="1" applyFill="1"/>
    <xf numFmtId="0" fontId="17" fillId="0" borderId="0" xfId="5" applyFont="1"/>
    <xf numFmtId="0" fontId="35" fillId="7" borderId="0" xfId="5" applyFont="1" applyFill="1"/>
    <xf numFmtId="0" fontId="17" fillId="7" borderId="35" xfId="5" applyFont="1" applyFill="1" applyBorder="1"/>
    <xf numFmtId="0" fontId="17" fillId="7" borderId="52" xfId="5" applyFont="1" applyFill="1" applyBorder="1"/>
    <xf numFmtId="0" fontId="37" fillId="0" borderId="53" xfId="5" applyFont="1" applyBorder="1" applyAlignment="1">
      <alignment horizontal="center" vertical="center"/>
    </xf>
    <xf numFmtId="0" fontId="37" fillId="0" borderId="54" xfId="5" applyFont="1" applyBorder="1"/>
    <xf numFmtId="0" fontId="37" fillId="0" borderId="55" xfId="5" applyFont="1" applyBorder="1" applyAlignment="1">
      <alignment horizontal="center" vertical="center"/>
    </xf>
    <xf numFmtId="0" fontId="37" fillId="0" borderId="56" xfId="5" applyFont="1" applyBorder="1"/>
    <xf numFmtId="0" fontId="37" fillId="0" borderId="58" xfId="5" applyFont="1" applyBorder="1" applyAlignment="1">
      <alignment horizontal="center" vertical="center"/>
    </xf>
    <xf numFmtId="0" fontId="37" fillId="0" borderId="59" xfId="5" applyFont="1" applyBorder="1"/>
    <xf numFmtId="0" fontId="3" fillId="0" borderId="60" xfId="5" applyFont="1" applyBorder="1"/>
    <xf numFmtId="0" fontId="38" fillId="0" borderId="61" xfId="5" applyFont="1" applyBorder="1" applyAlignment="1">
      <alignment vertical="center" wrapText="1"/>
    </xf>
    <xf numFmtId="0" fontId="3" fillId="0" borderId="55" xfId="5" applyFont="1" applyBorder="1"/>
    <xf numFmtId="0" fontId="38" fillId="0" borderId="56" xfId="5" applyFont="1" applyBorder="1" applyAlignment="1">
      <alignment vertical="center" wrapText="1"/>
    </xf>
    <xf numFmtId="0" fontId="17" fillId="0" borderId="60" xfId="5" applyFont="1" applyBorder="1"/>
    <xf numFmtId="0" fontId="17" fillId="0" borderId="61" xfId="5" applyFont="1" applyBorder="1"/>
    <xf numFmtId="0" fontId="17" fillId="7" borderId="0" xfId="5" applyFont="1" applyFill="1" applyAlignment="1">
      <alignment horizontal="left" vertical="top"/>
    </xf>
    <xf numFmtId="0" fontId="17" fillId="0" borderId="0" xfId="5" applyFont="1" applyAlignment="1">
      <alignment horizontal="left" vertical="top"/>
    </xf>
    <xf numFmtId="0" fontId="37" fillId="7" borderId="4" xfId="5" applyFont="1" applyFill="1" applyBorder="1" applyAlignment="1">
      <alignment horizontal="center" vertical="center"/>
    </xf>
    <xf numFmtId="0" fontId="37" fillId="7" borderId="4" xfId="5" applyFont="1" applyFill="1" applyBorder="1"/>
    <xf numFmtId="0" fontId="37" fillId="7" borderId="0" xfId="5" applyFont="1" applyFill="1" applyAlignment="1">
      <alignment horizontal="center" vertical="center"/>
    </xf>
    <xf numFmtId="0" fontId="37" fillId="7" borderId="0" xfId="5" applyFont="1" applyFill="1"/>
    <xf numFmtId="0" fontId="3" fillId="7" borderId="0" xfId="5" applyFont="1" applyFill="1"/>
    <xf numFmtId="0" fontId="38" fillId="7" borderId="0" xfId="5" applyFont="1" applyFill="1" applyAlignment="1">
      <alignment vertical="center" wrapText="1"/>
    </xf>
    <xf numFmtId="0" fontId="37" fillId="0" borderId="23" xfId="5" applyFont="1" applyBorder="1"/>
    <xf numFmtId="0" fontId="37" fillId="0" borderId="69" xfId="5" applyFont="1" applyBorder="1"/>
    <xf numFmtId="0" fontId="6" fillId="0" borderId="0" xfId="5"/>
    <xf numFmtId="0" fontId="40" fillId="11" borderId="70" xfId="5" applyFont="1" applyFill="1" applyBorder="1" applyAlignment="1">
      <alignment horizontal="center" vertical="center" wrapText="1"/>
    </xf>
    <xf numFmtId="0" fontId="40" fillId="11" borderId="70" xfId="5" applyFont="1" applyFill="1" applyBorder="1" applyAlignment="1">
      <alignment vertical="center" wrapText="1"/>
    </xf>
    <xf numFmtId="0" fontId="40" fillId="11" borderId="72" xfId="5" applyFont="1" applyFill="1" applyBorder="1" applyAlignment="1">
      <alignment horizontal="center" vertical="center"/>
    </xf>
    <xf numFmtId="0" fontId="6" fillId="0" borderId="24" xfId="5" applyBorder="1" applyAlignment="1">
      <alignment horizontal="center"/>
    </xf>
    <xf numFmtId="0" fontId="6" fillId="0" borderId="24" xfId="5" applyBorder="1" applyAlignment="1">
      <alignment horizontal="left"/>
    </xf>
    <xf numFmtId="0" fontId="6" fillId="0" borderId="13" xfId="5" applyBorder="1" applyAlignment="1">
      <alignment horizontal="center"/>
    </xf>
    <xf numFmtId="0" fontId="6" fillId="0" borderId="11" xfId="5" applyBorder="1" applyAlignment="1">
      <alignment horizontal="center"/>
    </xf>
    <xf numFmtId="0" fontId="3" fillId="0" borderId="13" xfId="5" applyFont="1" applyBorder="1" applyAlignment="1">
      <alignment horizontal="center"/>
    </xf>
    <xf numFmtId="0" fontId="3" fillId="0" borderId="7" xfId="5" applyFont="1" applyBorder="1"/>
    <xf numFmtId="0" fontId="6" fillId="0" borderId="2" xfId="5" applyBorder="1" applyAlignment="1">
      <alignment horizontal="center"/>
    </xf>
    <xf numFmtId="0" fontId="6" fillId="0" borderId="14" xfId="5" applyBorder="1" applyAlignment="1">
      <alignment horizontal="center"/>
    </xf>
    <xf numFmtId="0" fontId="6" fillId="0" borderId="73" xfId="5" applyBorder="1" applyAlignment="1">
      <alignment horizontal="center"/>
    </xf>
    <xf numFmtId="0" fontId="3" fillId="0" borderId="14" xfId="5" applyFont="1" applyBorder="1" applyAlignment="1">
      <alignment horizontal="center"/>
    </xf>
    <xf numFmtId="0" fontId="3" fillId="0" borderId="9" xfId="5" applyFont="1" applyBorder="1"/>
    <xf numFmtId="0" fontId="6" fillId="0" borderId="2" xfId="5" applyBorder="1" applyAlignment="1">
      <alignment horizontal="left"/>
    </xf>
    <xf numFmtId="0" fontId="6" fillId="0" borderId="3" xfId="5" applyBorder="1" applyAlignment="1">
      <alignment horizontal="center"/>
    </xf>
    <xf numFmtId="0" fontId="6" fillId="0" borderId="3" xfId="5" applyBorder="1" applyAlignment="1">
      <alignment horizontal="left"/>
    </xf>
    <xf numFmtId="0" fontId="3" fillId="0" borderId="15" xfId="5" applyFont="1" applyBorder="1" applyAlignment="1">
      <alignment horizontal="center"/>
    </xf>
    <xf numFmtId="0" fontId="3" fillId="0" borderId="10" xfId="5" applyFont="1" applyBorder="1"/>
    <xf numFmtId="0" fontId="6" fillId="0" borderId="21" xfId="5" applyBorder="1" applyAlignment="1">
      <alignment horizontal="center"/>
    </xf>
    <xf numFmtId="0" fontId="6" fillId="0" borderId="74" xfId="5" applyBorder="1" applyAlignment="1">
      <alignment horizontal="center"/>
    </xf>
    <xf numFmtId="0" fontId="6" fillId="0" borderId="0" xfId="5" applyAlignment="1">
      <alignment horizontal="center"/>
    </xf>
    <xf numFmtId="0" fontId="20" fillId="7" borderId="0" xfId="0" applyFont="1" applyFill="1" applyAlignment="1">
      <alignment horizontal="center" vertical="center"/>
    </xf>
    <xf numFmtId="0" fontId="39" fillId="7" borderId="0" xfId="0" applyFont="1" applyFill="1" applyAlignment="1">
      <alignment horizontal="center" vertical="center"/>
    </xf>
    <xf numFmtId="0" fontId="17" fillId="7" borderId="0" xfId="0" applyFont="1" applyFill="1" applyAlignment="1">
      <alignment vertical="center"/>
    </xf>
    <xf numFmtId="0" fontId="36" fillId="7" borderId="0" xfId="0" applyFont="1" applyFill="1" applyAlignment="1">
      <alignment horizontal="center" vertical="center"/>
    </xf>
    <xf numFmtId="0" fontId="39" fillId="7" borderId="35" xfId="0" applyFont="1" applyFill="1" applyBorder="1" applyAlignment="1">
      <alignment horizontal="center" vertical="center"/>
    </xf>
    <xf numFmtId="0" fontId="17" fillId="7" borderId="35" xfId="0" applyFont="1" applyFill="1" applyBorder="1" applyAlignment="1">
      <alignment vertical="center"/>
    </xf>
    <xf numFmtId="0" fontId="4" fillId="7" borderId="0" xfId="0" applyFont="1" applyFill="1" applyAlignment="1">
      <alignment horizontal="center" vertical="center"/>
    </xf>
    <xf numFmtId="0" fontId="0" fillId="7" borderId="0" xfId="0" applyFill="1" applyAlignment="1">
      <alignment horizontal="left" vertical="center" wrapText="1"/>
    </xf>
    <xf numFmtId="0" fontId="4" fillId="0" borderId="0" xfId="0" applyFont="1" applyAlignment="1">
      <alignment horizontal="center" vertical="center"/>
    </xf>
    <xf numFmtId="0" fontId="0" fillId="0" borderId="0" xfId="0" applyAlignment="1">
      <alignment horizontal="left" vertical="center" wrapText="1"/>
    </xf>
    <xf numFmtId="0" fontId="0" fillId="7" borderId="0" xfId="0" applyFill="1" applyAlignment="1">
      <alignment horizontal="left" vertical="center"/>
    </xf>
    <xf numFmtId="0" fontId="0" fillId="0" borderId="0" xfId="0" applyAlignment="1">
      <alignment horizontal="left" vertical="center"/>
    </xf>
    <xf numFmtId="0" fontId="21" fillId="7" borderId="0" xfId="0" applyFont="1" applyFill="1" applyAlignment="1">
      <alignment horizontal="center" vertical="center"/>
    </xf>
    <xf numFmtId="0" fontId="4" fillId="7" borderId="0" xfId="0" applyFont="1" applyFill="1" applyAlignment="1">
      <alignment horizontal="center" vertical="center" wrapText="1"/>
    </xf>
    <xf numFmtId="0" fontId="4" fillId="0" borderId="0" xfId="0" applyFont="1" applyAlignment="1">
      <alignment horizontal="center" vertical="center" wrapText="1"/>
    </xf>
    <xf numFmtId="0" fontId="0" fillId="7" borderId="0" xfId="0" applyFill="1" applyAlignment="1">
      <alignment vertical="center" wrapText="1"/>
    </xf>
    <xf numFmtId="0" fontId="0" fillId="0" borderId="0" xfId="0" applyAlignment="1">
      <alignment vertical="center" wrapText="1"/>
    </xf>
    <xf numFmtId="0" fontId="44" fillId="0" borderId="0" xfId="0" applyFont="1" applyAlignment="1">
      <alignment horizontal="left" vertical="top"/>
    </xf>
    <xf numFmtId="0" fontId="30" fillId="7" borderId="0" xfId="0" applyFont="1" applyFill="1" applyAlignment="1">
      <alignment horizontal="left" vertical="top"/>
    </xf>
    <xf numFmtId="0" fontId="30" fillId="7" borderId="0" xfId="0" applyFont="1" applyFill="1" applyAlignment="1">
      <alignment horizontal="left"/>
    </xf>
    <xf numFmtId="0" fontId="44" fillId="0" borderId="0" xfId="0" applyFont="1" applyAlignment="1">
      <alignment horizontal="left" vertical="center"/>
    </xf>
    <xf numFmtId="0" fontId="29" fillId="7" borderId="50" xfId="0" applyFont="1" applyFill="1" applyBorder="1" applyAlignment="1">
      <alignment horizontal="center" vertical="center" wrapText="1"/>
    </xf>
    <xf numFmtId="0" fontId="44" fillId="7" borderId="0" xfId="0" applyFont="1" applyFill="1" applyAlignment="1">
      <alignment horizontal="left" vertical="top"/>
    </xf>
    <xf numFmtId="0" fontId="44" fillId="7" borderId="0" xfId="0" applyFont="1" applyFill="1" applyAlignment="1">
      <alignment horizontal="left" vertical="center"/>
    </xf>
    <xf numFmtId="0" fontId="19" fillId="7" borderId="84" xfId="0" applyFont="1" applyFill="1" applyBorder="1"/>
    <xf numFmtId="0" fontId="3" fillId="7" borderId="85" xfId="0" applyFont="1" applyFill="1" applyBorder="1"/>
    <xf numFmtId="0" fontId="19" fillId="7" borderId="82" xfId="0" applyFont="1" applyFill="1" applyBorder="1"/>
    <xf numFmtId="0" fontId="3" fillId="7" borderId="83" xfId="0" applyFont="1" applyFill="1" applyBorder="1"/>
    <xf numFmtId="0" fontId="29" fillId="7" borderId="87" xfId="0" applyFont="1" applyFill="1" applyBorder="1" applyAlignment="1">
      <alignment horizontal="center" vertical="center" wrapText="1"/>
    </xf>
    <xf numFmtId="0" fontId="29" fillId="7" borderId="89" xfId="0" applyFont="1" applyFill="1" applyBorder="1" applyAlignment="1">
      <alignment horizontal="center" vertical="center" wrapText="1"/>
    </xf>
    <xf numFmtId="0" fontId="44" fillId="7" borderId="82" xfId="0" applyFont="1" applyFill="1" applyBorder="1" applyAlignment="1">
      <alignment horizontal="left" vertical="top"/>
    </xf>
    <xf numFmtId="0" fontId="44" fillId="7" borderId="83" xfId="0" applyFont="1" applyFill="1" applyBorder="1" applyAlignment="1">
      <alignment horizontal="left" vertical="top"/>
    </xf>
    <xf numFmtId="0" fontId="44" fillId="7" borderId="84" xfId="0" applyFont="1" applyFill="1" applyBorder="1" applyAlignment="1">
      <alignment horizontal="left" vertical="top"/>
    </xf>
    <xf numFmtId="0" fontId="44" fillId="7" borderId="35" xfId="0" applyFont="1" applyFill="1" applyBorder="1" applyAlignment="1">
      <alignment horizontal="left" vertical="top"/>
    </xf>
    <xf numFmtId="0" fontId="44" fillId="7" borderId="85" xfId="0" applyFont="1" applyFill="1" applyBorder="1" applyAlignment="1">
      <alignment horizontal="left" vertical="top"/>
    </xf>
    <xf numFmtId="0" fontId="47" fillId="7" borderId="0" xfId="0" applyFont="1" applyFill="1" applyAlignment="1">
      <alignment horizontal="left" vertical="top"/>
    </xf>
    <xf numFmtId="0" fontId="47" fillId="0" borderId="0" xfId="0" applyFont="1" applyAlignment="1">
      <alignment horizontal="left" vertical="top"/>
    </xf>
    <xf numFmtId="0" fontId="3" fillId="7" borderId="0" xfId="0" applyFont="1" applyFill="1" applyAlignment="1">
      <alignment horizontal="left" vertical="top"/>
    </xf>
    <xf numFmtId="0" fontId="3" fillId="0" borderId="0" xfId="0" applyFont="1" applyAlignment="1">
      <alignment horizontal="left" vertical="top"/>
    </xf>
    <xf numFmtId="0" fontId="48" fillId="7" borderId="82" xfId="0" applyFont="1" applyFill="1" applyBorder="1" applyAlignment="1">
      <alignment horizontal="right" vertical="center" wrapText="1"/>
    </xf>
    <xf numFmtId="0" fontId="48" fillId="7" borderId="0" xfId="0" applyFont="1" applyFill="1" applyAlignment="1">
      <alignment horizontal="right" vertical="center" wrapText="1"/>
    </xf>
    <xf numFmtId="0" fontId="31" fillId="4" borderId="114" xfId="2" applyFont="1" applyFill="1" applyBorder="1" applyAlignment="1" applyProtection="1">
      <alignment horizontal="left" vertical="center" wrapText="1"/>
      <protection locked="0"/>
    </xf>
    <xf numFmtId="0" fontId="31" fillId="0" borderId="114" xfId="2" applyFont="1" applyBorder="1" applyAlignment="1" applyProtection="1">
      <alignment horizontal="left" vertical="center" wrapText="1"/>
      <protection locked="0"/>
    </xf>
    <xf numFmtId="0" fontId="32" fillId="0" borderId="114" xfId="0" applyFont="1" applyBorder="1" applyAlignment="1">
      <alignment horizontal="left" vertical="center" wrapText="1"/>
    </xf>
    <xf numFmtId="0" fontId="43" fillId="4" borderId="118" xfId="0" applyFont="1" applyFill="1" applyBorder="1" applyAlignment="1">
      <alignment horizontal="center" vertical="center" wrapText="1"/>
    </xf>
    <xf numFmtId="0" fontId="9" fillId="4" borderId="117" xfId="1" applyFont="1" applyFill="1" applyBorder="1" applyAlignment="1">
      <alignment horizontal="left" vertical="center" wrapText="1"/>
    </xf>
    <xf numFmtId="164" fontId="44" fillId="4" borderId="117" xfId="0" applyNumberFormat="1" applyFont="1" applyFill="1" applyBorder="1" applyAlignment="1">
      <alignment horizontal="center" vertical="center"/>
    </xf>
    <xf numFmtId="164" fontId="43" fillId="4" borderId="116" xfId="0" applyNumberFormat="1" applyFont="1" applyFill="1" applyBorder="1" applyAlignment="1">
      <alignment horizontal="center" vertical="center" wrapText="1"/>
    </xf>
    <xf numFmtId="164" fontId="7" fillId="4" borderId="116" xfId="1" applyNumberFormat="1" applyFont="1" applyFill="1" applyBorder="1" applyAlignment="1">
      <alignment horizontal="center" vertical="center" wrapText="1"/>
    </xf>
    <xf numFmtId="164" fontId="44" fillId="2" borderId="117" xfId="0" applyNumberFormat="1" applyFont="1" applyFill="1" applyBorder="1" applyAlignment="1">
      <alignment horizontal="center" vertical="center"/>
    </xf>
    <xf numFmtId="0" fontId="43" fillId="2" borderId="118" xfId="0" applyFont="1" applyFill="1" applyBorder="1" applyAlignment="1">
      <alignment horizontal="center" vertical="center" wrapText="1"/>
    </xf>
    <xf numFmtId="164" fontId="43" fillId="2" borderId="116" xfId="0" applyNumberFormat="1" applyFont="1" applyFill="1" applyBorder="1" applyAlignment="1">
      <alignment horizontal="center" vertical="center" wrapText="1"/>
    </xf>
    <xf numFmtId="0" fontId="9" fillId="2" borderId="117" xfId="1" applyFont="1" applyFill="1" applyBorder="1" applyAlignment="1">
      <alignment horizontal="left" vertical="center" wrapText="1"/>
    </xf>
    <xf numFmtId="0" fontId="33" fillId="2" borderId="114" xfId="0" applyFont="1" applyFill="1" applyBorder="1" applyAlignment="1">
      <alignment horizontal="left" vertical="center" wrapText="1"/>
    </xf>
    <xf numFmtId="0" fontId="33" fillId="0" borderId="114" xfId="0" applyFont="1" applyBorder="1" applyAlignment="1">
      <alignment horizontal="left" vertical="center" wrapText="1"/>
    </xf>
    <xf numFmtId="164" fontId="44" fillId="5" borderId="117" xfId="0" applyNumberFormat="1" applyFont="1" applyFill="1" applyBorder="1" applyAlignment="1">
      <alignment horizontal="center" vertical="center"/>
    </xf>
    <xf numFmtId="0" fontId="43" fillId="5" borderId="118" xfId="0" applyFont="1" applyFill="1" applyBorder="1" applyAlignment="1">
      <alignment horizontal="center" vertical="center" wrapText="1"/>
    </xf>
    <xf numFmtId="164" fontId="43" fillId="5" borderId="116" xfId="0" applyNumberFormat="1" applyFont="1" applyFill="1" applyBorder="1" applyAlignment="1">
      <alignment horizontal="center" vertical="center" wrapText="1"/>
    </xf>
    <xf numFmtId="0" fontId="9" fillId="5" borderId="117" xfId="1" applyFont="1" applyFill="1" applyBorder="1" applyAlignment="1">
      <alignment horizontal="left" vertical="center" wrapText="1"/>
    </xf>
    <xf numFmtId="0" fontId="33" fillId="5" borderId="114" xfId="0" applyFont="1" applyFill="1" applyBorder="1" applyAlignment="1">
      <alignment horizontal="center" vertical="center" wrapText="1"/>
    </xf>
    <xf numFmtId="0" fontId="50" fillId="7" borderId="0" xfId="0" applyFont="1" applyFill="1"/>
    <xf numFmtId="0" fontId="50" fillId="7" borderId="0" xfId="0" applyFont="1" applyFill="1" applyAlignment="1">
      <alignment horizontal="left" vertical="top"/>
    </xf>
    <xf numFmtId="0" fontId="50" fillId="7" borderId="0" xfId="0" applyFont="1" applyFill="1" applyAlignment="1">
      <alignment horizontal="left"/>
    </xf>
    <xf numFmtId="0" fontId="50" fillId="7" borderId="0" xfId="0" applyFont="1" applyFill="1" applyAlignment="1">
      <alignment horizontal="center"/>
    </xf>
    <xf numFmtId="0" fontId="44" fillId="0" borderId="0" xfId="0" applyFont="1"/>
    <xf numFmtId="0" fontId="35" fillId="7" borderId="0" xfId="0" applyFont="1" applyFill="1"/>
    <xf numFmtId="0" fontId="35" fillId="7" borderId="0" xfId="0" applyFont="1" applyFill="1" applyAlignment="1">
      <alignment horizontal="left"/>
    </xf>
    <xf numFmtId="0" fontId="35" fillId="7" borderId="0" xfId="0" applyFont="1" applyFill="1" applyAlignment="1">
      <alignment horizontal="center"/>
    </xf>
    <xf numFmtId="0" fontId="50" fillId="7" borderId="35" xfId="0" applyFont="1" applyFill="1" applyBorder="1"/>
    <xf numFmtId="0" fontId="50" fillId="7" borderId="35" xfId="0" applyFont="1" applyFill="1" applyBorder="1" applyAlignment="1">
      <alignment horizontal="left" vertical="top"/>
    </xf>
    <xf numFmtId="0" fontId="50" fillId="7" borderId="35" xfId="0" applyFont="1" applyFill="1" applyBorder="1" applyAlignment="1">
      <alignment horizontal="left"/>
    </xf>
    <xf numFmtId="0" fontId="50" fillId="7" borderId="35" xfId="0" applyFont="1" applyFill="1" applyBorder="1" applyAlignment="1">
      <alignment horizontal="center"/>
    </xf>
    <xf numFmtId="0" fontId="20" fillId="7" borderId="0" xfId="0" applyFont="1" applyFill="1" applyAlignment="1">
      <alignment horizontal="left" vertical="center"/>
    </xf>
    <xf numFmtId="0" fontId="44" fillId="7" borderId="0" xfId="0" applyFont="1" applyFill="1"/>
    <xf numFmtId="0" fontId="44" fillId="7" borderId="0" xfId="0" applyFont="1" applyFill="1" applyAlignment="1">
      <alignment horizontal="left"/>
    </xf>
    <xf numFmtId="0" fontId="44" fillId="7" borderId="0" xfId="0" applyFont="1" applyFill="1" applyAlignment="1">
      <alignment horizontal="center"/>
    </xf>
    <xf numFmtId="164" fontId="44" fillId="7" borderId="0" xfId="0" applyNumberFormat="1" applyFont="1" applyFill="1" applyAlignment="1">
      <alignment horizontal="center"/>
    </xf>
    <xf numFmtId="0" fontId="44" fillId="7" borderId="0" xfId="0" applyFont="1" applyFill="1" applyAlignment="1">
      <alignment horizontal="center" vertical="center"/>
    </xf>
    <xf numFmtId="2" fontId="44" fillId="7" borderId="0" xfId="6" applyNumberFormat="1" applyFont="1" applyFill="1" applyAlignment="1">
      <alignment horizontal="center" vertical="center"/>
    </xf>
    <xf numFmtId="0" fontId="44" fillId="7" borderId="0" xfId="6" applyNumberFormat="1" applyFont="1" applyFill="1" applyAlignment="1">
      <alignment horizontal="center" vertical="center"/>
    </xf>
    <xf numFmtId="0" fontId="53" fillId="0" borderId="0" xfId="0" applyFont="1"/>
    <xf numFmtId="0" fontId="44" fillId="0" borderId="0" xfId="0" applyFont="1" applyAlignment="1">
      <alignment horizontal="center" vertical="center"/>
    </xf>
    <xf numFmtId="0" fontId="44" fillId="0" borderId="0" xfId="6" applyNumberFormat="1" applyFont="1" applyAlignment="1">
      <alignment horizontal="center" vertical="center"/>
    </xf>
    <xf numFmtId="0" fontId="44" fillId="0" borderId="0" xfId="0" applyFont="1" applyAlignment="1">
      <alignment horizontal="left"/>
    </xf>
    <xf numFmtId="0" fontId="44" fillId="0" borderId="0" xfId="0" applyFont="1" applyAlignment="1">
      <alignment horizontal="center"/>
    </xf>
    <xf numFmtId="0" fontId="33" fillId="13" borderId="39" xfId="0" applyFont="1" applyFill="1" applyBorder="1" applyAlignment="1">
      <alignment horizontal="left" vertical="center" wrapText="1"/>
    </xf>
    <xf numFmtId="0" fontId="33" fillId="13" borderId="8" xfId="0" applyFont="1" applyFill="1" applyBorder="1" applyAlignment="1">
      <alignment horizontal="left" vertical="center" wrapText="1"/>
    </xf>
    <xf numFmtId="0" fontId="33" fillId="13" borderId="114" xfId="0" applyFont="1" applyFill="1" applyBorder="1" applyAlignment="1">
      <alignment horizontal="left" vertical="center" wrapText="1"/>
    </xf>
    <xf numFmtId="164" fontId="44" fillId="13" borderId="117" xfId="0" applyNumberFormat="1" applyFont="1" applyFill="1" applyBorder="1" applyAlignment="1">
      <alignment horizontal="center" vertical="center"/>
    </xf>
    <xf numFmtId="0" fontId="43" fillId="13" borderId="118" xfId="0" applyFont="1" applyFill="1" applyBorder="1" applyAlignment="1">
      <alignment horizontal="center" vertical="center" wrapText="1"/>
    </xf>
    <xf numFmtId="164" fontId="43" fillId="13" borderId="116" xfId="0" applyNumberFormat="1" applyFont="1" applyFill="1" applyBorder="1" applyAlignment="1">
      <alignment horizontal="center" vertical="center" wrapText="1"/>
    </xf>
    <xf numFmtId="0" fontId="9" fillId="13" borderId="117" xfId="1" applyFont="1" applyFill="1" applyBorder="1" applyAlignment="1">
      <alignment horizontal="left" vertical="center" wrapText="1"/>
    </xf>
    <xf numFmtId="0" fontId="51" fillId="6" borderId="70" xfId="6" applyNumberFormat="1" applyFont="1" applyFill="1" applyBorder="1" applyAlignment="1">
      <alignment horizontal="center" vertical="center" wrapText="1"/>
    </xf>
    <xf numFmtId="0" fontId="51" fillId="2" borderId="70" xfId="6" applyNumberFormat="1" applyFont="1" applyFill="1" applyBorder="1" applyAlignment="1">
      <alignment horizontal="center" vertical="center" wrapText="1"/>
    </xf>
    <xf numFmtId="0" fontId="51" fillId="10" borderId="70" xfId="6" applyNumberFormat="1" applyFont="1" applyFill="1" applyBorder="1" applyAlignment="1">
      <alignment horizontal="center" vertical="center" wrapText="1"/>
    </xf>
    <xf numFmtId="0" fontId="51" fillId="10" borderId="111" xfId="6" applyNumberFormat="1" applyFont="1" applyFill="1" applyBorder="1" applyAlignment="1">
      <alignment horizontal="center" vertical="center" wrapText="1"/>
    </xf>
    <xf numFmtId="0" fontId="52" fillId="4" borderId="133" xfId="0" applyFont="1" applyFill="1" applyBorder="1" applyAlignment="1">
      <alignment horizontal="left" vertical="center"/>
    </xf>
    <xf numFmtId="164" fontId="52" fillId="4" borderId="112" xfId="6" applyNumberFormat="1" applyFont="1" applyFill="1" applyBorder="1" applyAlignment="1">
      <alignment horizontal="center" vertical="center"/>
    </xf>
    <xf numFmtId="164" fontId="52" fillId="4" borderId="113" xfId="6" applyNumberFormat="1" applyFont="1" applyFill="1" applyBorder="1" applyAlignment="1">
      <alignment horizontal="center" vertical="center"/>
    </xf>
    <xf numFmtId="0" fontId="52" fillId="2" borderId="134" xfId="0" applyFont="1" applyFill="1" applyBorder="1" applyAlignment="1">
      <alignment horizontal="left" vertical="center"/>
    </xf>
    <xf numFmtId="164" fontId="52" fillId="2" borderId="135" xfId="6" applyNumberFormat="1" applyFont="1" applyFill="1" applyBorder="1" applyAlignment="1">
      <alignment horizontal="center" vertical="center"/>
    </xf>
    <xf numFmtId="164" fontId="52" fillId="2" borderId="136" xfId="6" applyNumberFormat="1" applyFont="1" applyFill="1" applyBorder="1" applyAlignment="1">
      <alignment horizontal="center" vertical="center"/>
    </xf>
    <xf numFmtId="0" fontId="52" fillId="5" borderId="134" xfId="0" applyFont="1" applyFill="1" applyBorder="1" applyAlignment="1">
      <alignment horizontal="left" vertical="center"/>
    </xf>
    <xf numFmtId="164" fontId="52" fillId="5" borderId="135" xfId="6" applyNumberFormat="1" applyFont="1" applyFill="1" applyBorder="1" applyAlignment="1">
      <alignment horizontal="center" vertical="center"/>
    </xf>
    <xf numFmtId="164" fontId="52" fillId="5" borderId="136" xfId="6" applyNumberFormat="1" applyFont="1" applyFill="1" applyBorder="1" applyAlignment="1">
      <alignment horizontal="center" vertical="center"/>
    </xf>
    <xf numFmtId="0" fontId="52" fillId="13" borderId="137" xfId="0" applyFont="1" applyFill="1" applyBorder="1" applyAlignment="1">
      <alignment horizontal="left" vertical="center"/>
    </xf>
    <xf numFmtId="164" fontId="52" fillId="13" borderId="119" xfId="6" applyNumberFormat="1" applyFont="1" applyFill="1" applyBorder="1" applyAlignment="1">
      <alignment horizontal="center" vertical="center"/>
    </xf>
    <xf numFmtId="164" fontId="52" fillId="13" borderId="120" xfId="6" applyNumberFormat="1" applyFont="1" applyFill="1" applyBorder="1" applyAlignment="1">
      <alignment horizontal="center" vertical="center"/>
    </xf>
    <xf numFmtId="0" fontId="54" fillId="7" borderId="0" xfId="0" applyFont="1" applyFill="1"/>
    <xf numFmtId="0" fontId="54" fillId="0" borderId="0" xfId="0" applyFont="1"/>
    <xf numFmtId="164" fontId="47" fillId="14" borderId="138" xfId="0" applyNumberFormat="1" applyFont="1" applyFill="1" applyBorder="1" applyAlignment="1">
      <alignment horizontal="center" vertical="center"/>
    </xf>
    <xf numFmtId="0" fontId="55" fillId="14" borderId="139" xfId="0" applyFont="1" applyFill="1" applyBorder="1" applyAlignment="1">
      <alignment horizontal="center" vertical="center" wrapText="1"/>
    </xf>
    <xf numFmtId="164" fontId="55" fillId="14" borderId="140" xfId="0" applyNumberFormat="1" applyFont="1" applyFill="1" applyBorder="1" applyAlignment="1">
      <alignment horizontal="center" vertical="center" wrapText="1"/>
    </xf>
    <xf numFmtId="0" fontId="56" fillId="14" borderId="138" xfId="1" applyFont="1" applyFill="1" applyBorder="1" applyAlignment="1">
      <alignment horizontal="left" vertical="center" wrapText="1"/>
    </xf>
    <xf numFmtId="0" fontId="56" fillId="14" borderId="138" xfId="1" applyFont="1" applyFill="1" applyBorder="1" applyAlignment="1">
      <alignment vertical="center" wrapText="1"/>
    </xf>
    <xf numFmtId="0" fontId="45" fillId="14" borderId="130" xfId="0" applyFont="1" applyFill="1" applyBorder="1" applyAlignment="1">
      <alignment horizontal="left" vertical="center" wrapText="1"/>
    </xf>
    <xf numFmtId="164" fontId="45" fillId="14" borderId="131" xfId="0" applyNumberFormat="1" applyFont="1" applyFill="1" applyBorder="1" applyAlignment="1">
      <alignment horizontal="center" vertical="center"/>
    </xf>
    <xf numFmtId="164" fontId="45" fillId="14" borderId="131" xfId="6" applyNumberFormat="1" applyFont="1" applyFill="1" applyBorder="1" applyAlignment="1">
      <alignment horizontal="center" vertical="center"/>
    </xf>
    <xf numFmtId="164" fontId="45" fillId="14" borderId="132" xfId="6" applyNumberFormat="1" applyFont="1" applyFill="1" applyBorder="1" applyAlignment="1">
      <alignment horizontal="center" vertical="center"/>
    </xf>
    <xf numFmtId="0" fontId="26" fillId="0" borderId="90" xfId="0" applyFont="1" applyBorder="1" applyAlignment="1" applyProtection="1">
      <alignment horizontal="left" vertical="center" wrapText="1"/>
      <protection locked="0"/>
    </xf>
    <xf numFmtId="0" fontId="26" fillId="0" borderId="91" xfId="0" applyFont="1" applyBorder="1" applyAlignment="1" applyProtection="1">
      <alignment horizontal="left" vertical="center" wrapText="1"/>
      <protection locked="0"/>
    </xf>
    <xf numFmtId="0" fontId="26" fillId="0" borderId="92" xfId="0" applyFont="1" applyBorder="1" applyAlignment="1" applyProtection="1">
      <alignment horizontal="left" vertical="center" wrapText="1"/>
      <protection locked="0"/>
    </xf>
    <xf numFmtId="0" fontId="26" fillId="0" borderId="93" xfId="0" applyFont="1" applyBorder="1" applyAlignment="1" applyProtection="1">
      <alignment horizontal="left" vertical="center" wrapText="1"/>
      <protection locked="0"/>
    </xf>
    <xf numFmtId="0" fontId="26" fillId="0" borderId="94" xfId="0" applyFont="1" applyBorder="1" applyAlignment="1" applyProtection="1">
      <alignment horizontal="left" vertical="center" wrapText="1"/>
      <protection locked="0"/>
    </xf>
    <xf numFmtId="0" fontId="26" fillId="0" borderId="95" xfId="0" applyFont="1" applyBorder="1" applyAlignment="1" applyProtection="1">
      <alignment horizontal="left" vertical="center" wrapText="1"/>
      <protection locked="0"/>
    </xf>
    <xf numFmtId="0" fontId="31" fillId="0" borderId="99" xfId="0" applyFont="1" applyBorder="1" applyAlignment="1" applyProtection="1">
      <alignment horizontal="left" vertical="center" wrapText="1"/>
      <protection locked="0"/>
    </xf>
    <xf numFmtId="0" fontId="31" fillId="0" borderId="100" xfId="0" applyFont="1" applyBorder="1" applyAlignment="1" applyProtection="1">
      <alignment horizontal="left" vertical="center" wrapText="1"/>
      <protection locked="0"/>
    </xf>
    <xf numFmtId="0" fontId="31" fillId="0" borderId="101" xfId="0" applyFont="1" applyBorder="1" applyAlignment="1" applyProtection="1">
      <alignment horizontal="left" vertical="center" wrapText="1"/>
      <protection locked="0"/>
    </xf>
    <xf numFmtId="165" fontId="26" fillId="0" borderId="77" xfId="0" applyNumberFormat="1" applyFont="1" applyBorder="1" applyAlignment="1" applyProtection="1">
      <alignment horizontal="center" vertical="center"/>
      <protection locked="0"/>
    </xf>
    <xf numFmtId="165" fontId="26" fillId="0" borderId="96" xfId="0" applyNumberFormat="1" applyFont="1" applyBorder="1" applyAlignment="1" applyProtection="1">
      <alignment horizontal="center" vertical="center"/>
      <protection locked="0"/>
    </xf>
    <xf numFmtId="0" fontId="26" fillId="0" borderId="83" xfId="0" applyFont="1" applyBorder="1" applyAlignment="1" applyProtection="1">
      <alignment horizontal="center" vertical="center"/>
      <protection locked="0"/>
    </xf>
    <xf numFmtId="165" fontId="26" fillId="0" borderId="83" xfId="0" applyNumberFormat="1" applyFont="1" applyBorder="1" applyAlignment="1" applyProtection="1">
      <alignment horizontal="center" vertical="center"/>
      <protection locked="0"/>
    </xf>
    <xf numFmtId="49" fontId="46" fillId="0" borderId="102" xfId="0" applyNumberFormat="1" applyFont="1" applyBorder="1" applyAlignment="1" applyProtection="1">
      <alignment horizontal="center" vertical="center"/>
      <protection locked="0"/>
    </xf>
    <xf numFmtId="165" fontId="46" fillId="0" borderId="103" xfId="0" applyNumberFormat="1" applyFont="1" applyBorder="1" applyAlignment="1" applyProtection="1">
      <alignment horizontal="center" vertical="center"/>
      <protection locked="0"/>
    </xf>
    <xf numFmtId="49" fontId="46" fillId="0" borderId="103" xfId="0" applyNumberFormat="1" applyFont="1" applyBorder="1" applyAlignment="1" applyProtection="1">
      <alignment horizontal="center" vertical="center"/>
      <protection locked="0"/>
    </xf>
    <xf numFmtId="49" fontId="46" fillId="0" borderId="104" xfId="0" applyNumberFormat="1" applyFont="1" applyBorder="1" applyAlignment="1" applyProtection="1">
      <alignment horizontal="center" vertical="center"/>
      <protection locked="0"/>
    </xf>
    <xf numFmtId="49" fontId="46" fillId="0" borderId="105" xfId="0" applyNumberFormat="1" applyFont="1" applyBorder="1" applyAlignment="1" applyProtection="1">
      <alignment horizontal="center" vertical="center"/>
      <protection locked="0"/>
    </xf>
    <xf numFmtId="165" fontId="46" fillId="0" borderId="106" xfId="0" applyNumberFormat="1" applyFont="1" applyBorder="1" applyAlignment="1" applyProtection="1">
      <alignment horizontal="center" vertical="center"/>
      <protection locked="0"/>
    </xf>
    <xf numFmtId="49" fontId="46" fillId="0" borderId="106" xfId="0" applyNumberFormat="1" applyFont="1" applyBorder="1" applyAlignment="1" applyProtection="1">
      <alignment horizontal="center" vertical="center"/>
      <protection locked="0"/>
    </xf>
    <xf numFmtId="49" fontId="46" fillId="0" borderId="107" xfId="0" applyNumberFormat="1" applyFont="1" applyBorder="1" applyAlignment="1" applyProtection="1">
      <alignment horizontal="center" vertical="center"/>
      <protection locked="0"/>
    </xf>
    <xf numFmtId="49" fontId="46" fillId="0" borderId="108" xfId="0" applyNumberFormat="1" applyFont="1" applyBorder="1" applyAlignment="1" applyProtection="1">
      <alignment horizontal="center" vertical="center"/>
      <protection locked="0"/>
    </xf>
    <xf numFmtId="165" fontId="46" fillId="0" borderId="109" xfId="0" applyNumberFormat="1" applyFont="1" applyBorder="1" applyAlignment="1" applyProtection="1">
      <alignment horizontal="center" vertical="center"/>
      <protection locked="0"/>
    </xf>
    <xf numFmtId="49" fontId="46" fillId="0" borderId="109" xfId="0" applyNumberFormat="1" applyFont="1" applyBorder="1" applyAlignment="1" applyProtection="1">
      <alignment horizontal="center" vertical="center"/>
      <protection locked="0"/>
    </xf>
    <xf numFmtId="49" fontId="46" fillId="0" borderId="110" xfId="0" applyNumberFormat="1"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protection locked="0"/>
    </xf>
    <xf numFmtId="0" fontId="43" fillId="0" borderId="47" xfId="0" applyFont="1" applyBorder="1" applyAlignment="1" applyProtection="1">
      <alignment horizontal="center" vertical="center" wrapText="1"/>
      <protection locked="0"/>
    </xf>
    <xf numFmtId="0" fontId="43" fillId="0" borderId="45" xfId="0" applyFont="1" applyBorder="1" applyAlignment="1" applyProtection="1">
      <alignment horizontal="center" vertical="center" wrapText="1"/>
      <protection locked="0"/>
    </xf>
    <xf numFmtId="0" fontId="7" fillId="0" borderId="45" xfId="1" applyFont="1" applyBorder="1" applyAlignment="1" applyProtection="1">
      <alignment horizontal="center" vertical="center" wrapText="1"/>
      <protection locked="0"/>
    </xf>
    <xf numFmtId="0" fontId="9" fillId="0" borderId="46" xfId="1" applyFont="1" applyBorder="1" applyAlignment="1" applyProtection="1">
      <alignment horizontal="left" vertical="center" wrapText="1"/>
      <protection locked="0"/>
    </xf>
    <xf numFmtId="164" fontId="17" fillId="0" borderId="9" xfId="0" applyNumberFormat="1" applyFont="1" applyBorder="1" applyAlignment="1" applyProtection="1">
      <alignment horizontal="center" vertical="center"/>
      <protection locked="0"/>
    </xf>
    <xf numFmtId="0" fontId="43" fillId="0" borderId="14" xfId="0" applyFont="1" applyBorder="1" applyAlignment="1" applyProtection="1">
      <alignment horizontal="center" vertical="center" wrapText="1"/>
      <protection locked="0"/>
    </xf>
    <xf numFmtId="0" fontId="43" fillId="0" borderId="8" xfId="0" applyFont="1" applyBorder="1" applyAlignment="1" applyProtection="1">
      <alignment horizontal="center" vertical="center" wrapText="1"/>
      <protection locked="0"/>
    </xf>
    <xf numFmtId="0" fontId="7" fillId="0" borderId="8" xfId="1" applyFont="1" applyBorder="1" applyAlignment="1" applyProtection="1">
      <alignment horizontal="center" vertical="center" wrapText="1"/>
      <protection locked="0"/>
    </xf>
    <xf numFmtId="0" fontId="9" fillId="0" borderId="9" xfId="1" applyFont="1" applyBorder="1" applyAlignment="1" applyProtection="1">
      <alignment horizontal="left" vertical="center" wrapText="1"/>
      <protection locked="0"/>
    </xf>
    <xf numFmtId="0" fontId="9" fillId="0" borderId="9" xfId="1" applyFont="1" applyBorder="1" applyAlignment="1" applyProtection="1">
      <alignment horizontal="left" vertical="center"/>
      <protection locked="0"/>
    </xf>
    <xf numFmtId="0" fontId="7" fillId="0" borderId="8" xfId="3" applyFont="1" applyFill="1" applyBorder="1" applyAlignment="1" applyProtection="1">
      <alignment horizontal="center" vertical="center" wrapText="1"/>
      <protection locked="0"/>
    </xf>
    <xf numFmtId="0" fontId="0" fillId="0" borderId="12" xfId="0" applyBorder="1" applyAlignment="1" applyProtection="1">
      <alignment horizontal="left" vertical="center" wrapText="1"/>
      <protection locked="0"/>
    </xf>
    <xf numFmtId="0" fontId="9" fillId="0" borderId="9" xfId="1" quotePrefix="1" applyFont="1" applyBorder="1" applyAlignment="1" applyProtection="1">
      <alignment horizontal="left" vertical="center" wrapText="1"/>
      <protection locked="0"/>
    </xf>
    <xf numFmtId="164" fontId="17" fillId="0" borderId="115" xfId="0" applyNumberFormat="1" applyFont="1" applyBorder="1" applyAlignment="1" applyProtection="1">
      <alignment horizontal="center" vertical="center"/>
      <protection locked="0"/>
    </xf>
    <xf numFmtId="0" fontId="43" fillId="0" borderId="21" xfId="0" applyFont="1" applyBorder="1" applyAlignment="1" applyProtection="1">
      <alignment horizontal="center" vertical="center" wrapText="1"/>
      <protection locked="0"/>
    </xf>
    <xf numFmtId="0" fontId="43" fillId="0" borderId="114" xfId="0" applyFont="1" applyBorder="1" applyAlignment="1" applyProtection="1">
      <alignment horizontal="center" vertical="center" wrapText="1"/>
      <protection locked="0"/>
    </xf>
    <xf numFmtId="0" fontId="7" fillId="0" borderId="114" xfId="1" applyFont="1" applyBorder="1" applyAlignment="1" applyProtection="1">
      <alignment horizontal="center" vertical="center" wrapText="1"/>
      <protection locked="0"/>
    </xf>
    <xf numFmtId="0" fontId="9" fillId="0" borderId="115" xfId="1" applyFont="1" applyBorder="1" applyAlignment="1" applyProtection="1">
      <alignment horizontal="left" vertical="center" wrapText="1"/>
      <protection locked="0"/>
    </xf>
    <xf numFmtId="164" fontId="17" fillId="0" borderId="40" xfId="0" applyNumberFormat="1" applyFont="1" applyBorder="1" applyAlignment="1" applyProtection="1">
      <alignment horizontal="center" vertical="center"/>
      <protection locked="0"/>
    </xf>
    <xf numFmtId="0" fontId="43" fillId="0" borderId="41" xfId="0" applyFont="1" applyBorder="1" applyAlignment="1" applyProtection="1">
      <alignment horizontal="center" vertical="center" wrapText="1"/>
      <protection locked="0"/>
    </xf>
    <xf numFmtId="0" fontId="43" fillId="0" borderId="39" xfId="0" applyFont="1" applyBorder="1" applyAlignment="1" applyProtection="1">
      <alignment horizontal="center" vertical="center" wrapText="1"/>
      <protection locked="0"/>
    </xf>
    <xf numFmtId="0" fontId="7" fillId="0" borderId="39" xfId="1" applyFont="1" applyBorder="1" applyAlignment="1" applyProtection="1">
      <alignment horizontal="center" vertical="center" wrapText="1"/>
      <protection locked="0"/>
    </xf>
    <xf numFmtId="0" fontId="9" fillId="0" borderId="40" xfId="1" applyFont="1" applyBorder="1" applyAlignment="1" applyProtection="1">
      <alignment horizontal="left" vertical="center" wrapText="1"/>
      <protection locked="0"/>
    </xf>
    <xf numFmtId="0" fontId="9" fillId="0" borderId="9" xfId="3" applyFont="1" applyFill="1" applyBorder="1" applyAlignment="1" applyProtection="1">
      <alignment horizontal="left" vertical="center" wrapText="1"/>
      <protection locked="0"/>
    </xf>
    <xf numFmtId="0" fontId="13" fillId="0" borderId="9" xfId="1" applyFont="1" applyBorder="1" applyAlignment="1" applyProtection="1">
      <alignment horizontal="left" vertical="center" wrapText="1"/>
      <protection locked="0"/>
    </xf>
    <xf numFmtId="0" fontId="11" fillId="0" borderId="14"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42" fillId="7" borderId="0" xfId="0" applyFont="1" applyFill="1" applyAlignment="1">
      <alignment vertical="center"/>
    </xf>
    <xf numFmtId="49" fontId="3" fillId="7" borderId="0" xfId="0" applyNumberFormat="1" applyFont="1" applyFill="1"/>
    <xf numFmtId="49" fontId="48" fillId="7" borderId="0" xfId="0" applyNumberFormat="1" applyFont="1" applyFill="1" applyAlignment="1">
      <alignment horizontal="right" vertical="center"/>
    </xf>
    <xf numFmtId="49" fontId="30" fillId="7" borderId="0" xfId="0" applyNumberFormat="1" applyFont="1" applyFill="1" applyAlignment="1">
      <alignment vertical="center"/>
    </xf>
    <xf numFmtId="49" fontId="3" fillId="7" borderId="35" xfId="0" applyNumberFormat="1" applyFont="1" applyFill="1" applyBorder="1" applyAlignment="1">
      <alignment horizontal="left" vertical="center"/>
    </xf>
    <xf numFmtId="49" fontId="3" fillId="0" borderId="0" xfId="0" applyNumberFormat="1" applyFont="1"/>
    <xf numFmtId="0" fontId="59" fillId="7" borderId="0" xfId="0" applyFont="1" applyFill="1" applyAlignment="1">
      <alignment vertical="center"/>
    </xf>
    <xf numFmtId="0" fontId="9" fillId="0" borderId="142" xfId="1" applyFont="1" applyBorder="1" applyAlignment="1" applyProtection="1">
      <alignment vertical="center" wrapText="1"/>
      <protection locked="0"/>
    </xf>
    <xf numFmtId="0" fontId="9" fillId="0" borderId="143" xfId="1" applyFont="1" applyBorder="1" applyAlignment="1" applyProtection="1">
      <alignment vertical="center" wrapText="1"/>
      <protection locked="0"/>
    </xf>
    <xf numFmtId="0" fontId="0" fillId="0" borderId="28" xfId="0" applyBorder="1" applyAlignment="1" applyProtection="1">
      <alignment vertical="center" wrapText="1"/>
      <protection locked="0"/>
    </xf>
    <xf numFmtId="0" fontId="9" fillId="0" borderId="144" xfId="1" applyFont="1" applyBorder="1" applyAlignment="1" applyProtection="1">
      <alignment vertical="center" wrapText="1"/>
      <protection locked="0"/>
    </xf>
    <xf numFmtId="0" fontId="9" fillId="4" borderId="145" xfId="1" applyFont="1" applyFill="1" applyBorder="1" applyAlignment="1">
      <alignment vertical="center" wrapText="1"/>
    </xf>
    <xf numFmtId="0" fontId="9" fillId="0" borderId="146" xfId="1" applyFont="1" applyBorder="1" applyAlignment="1" applyProtection="1">
      <alignment vertical="center" wrapText="1"/>
      <protection locked="0"/>
    </xf>
    <xf numFmtId="0" fontId="9" fillId="2" borderId="145" xfId="1" applyFont="1" applyFill="1" applyBorder="1" applyAlignment="1">
      <alignment vertical="center" wrapText="1"/>
    </xf>
    <xf numFmtId="0" fontId="9" fillId="5" borderId="145" xfId="1" applyFont="1" applyFill="1" applyBorder="1" applyAlignment="1">
      <alignment vertical="center" wrapText="1"/>
    </xf>
    <xf numFmtId="0" fontId="9" fillId="0" borderId="143" xfId="3" applyFont="1" applyFill="1" applyBorder="1" applyAlignment="1" applyProtection="1">
      <alignment vertical="center" wrapText="1"/>
      <protection locked="0"/>
    </xf>
    <xf numFmtId="0" fontId="13" fillId="0" borderId="143" xfId="1" applyFont="1" applyBorder="1" applyAlignment="1" applyProtection="1">
      <alignment vertical="center" wrapText="1"/>
      <protection locked="0"/>
    </xf>
    <xf numFmtId="0" fontId="9" fillId="13" borderId="145" xfId="1" applyFont="1" applyFill="1" applyBorder="1" applyAlignment="1">
      <alignment vertical="center" wrapText="1"/>
    </xf>
    <xf numFmtId="0" fontId="14" fillId="0" borderId="148" xfId="0" applyFont="1" applyBorder="1" applyAlignment="1">
      <alignment horizontal="left" vertical="center" wrapText="1"/>
    </xf>
    <xf numFmtId="0" fontId="14" fillId="0" borderId="56" xfId="0" applyFont="1" applyBorder="1" applyAlignment="1">
      <alignment horizontal="left" vertical="center" wrapText="1"/>
    </xf>
    <xf numFmtId="0" fontId="15" fillId="0" borderId="56" xfId="0" applyFont="1" applyBorder="1" applyAlignment="1">
      <alignment horizontal="left" vertical="center" wrapText="1"/>
    </xf>
    <xf numFmtId="0" fontId="14" fillId="0" borderId="67" xfId="0" applyFont="1" applyBorder="1" applyAlignment="1">
      <alignment horizontal="left" vertical="center" wrapText="1"/>
    </xf>
    <xf numFmtId="0" fontId="49" fillId="4" borderId="149" xfId="0" applyFont="1" applyFill="1" applyBorder="1" applyAlignment="1">
      <alignment horizontal="left" vertical="center" wrapText="1"/>
    </xf>
    <xf numFmtId="0" fontId="14" fillId="0" borderId="54" xfId="0" applyFont="1" applyBorder="1" applyAlignment="1">
      <alignment horizontal="left" vertical="center" wrapText="1"/>
    </xf>
    <xf numFmtId="0" fontId="49" fillId="2" borderId="149" xfId="0" applyFont="1" applyFill="1" applyBorder="1" applyAlignment="1">
      <alignment horizontal="left" vertical="center" wrapText="1"/>
    </xf>
    <xf numFmtId="0" fontId="49" fillId="5" borderId="149" xfId="0" applyFont="1" applyFill="1" applyBorder="1" applyAlignment="1">
      <alignment horizontal="left" vertical="center" wrapText="1"/>
    </xf>
    <xf numFmtId="0" fontId="49" fillId="13" borderId="149" xfId="0" applyFont="1" applyFill="1" applyBorder="1" applyAlignment="1">
      <alignment horizontal="left" vertical="center" wrapText="1"/>
    </xf>
    <xf numFmtId="0" fontId="32" fillId="0" borderId="47" xfId="0" applyFont="1" applyBorder="1" applyAlignment="1">
      <alignment horizontal="left" vertical="center" wrapText="1"/>
    </xf>
    <xf numFmtId="0" fontId="58" fillId="0" borderId="6" xfId="0" applyFont="1" applyBorder="1" applyAlignment="1">
      <alignment vertical="center" wrapText="1"/>
    </xf>
    <xf numFmtId="0" fontId="32" fillId="0" borderId="14" xfId="0" applyFont="1" applyBorder="1" applyAlignment="1">
      <alignment horizontal="left" vertical="center" wrapText="1"/>
    </xf>
    <xf numFmtId="49" fontId="3" fillId="0" borderId="8" xfId="0" applyNumberFormat="1" applyFont="1" applyBorder="1" applyAlignment="1">
      <alignment vertical="center" wrapText="1"/>
    </xf>
    <xf numFmtId="0" fontId="32" fillId="0" borderId="21" xfId="0" applyFont="1" applyBorder="1" applyAlignment="1">
      <alignment horizontal="left" vertical="center" wrapText="1"/>
    </xf>
    <xf numFmtId="49" fontId="3" fillId="0" borderId="114" xfId="0" applyNumberFormat="1" applyFont="1" applyBorder="1" applyAlignment="1">
      <alignment vertical="center" wrapText="1"/>
    </xf>
    <xf numFmtId="0" fontId="9" fillId="4" borderId="118" xfId="1" applyFont="1" applyFill="1" applyBorder="1" applyAlignment="1">
      <alignment vertical="center" wrapText="1"/>
    </xf>
    <xf numFmtId="49" fontId="3" fillId="4" borderId="116" xfId="0" applyNumberFormat="1" applyFont="1" applyFill="1" applyBorder="1" applyAlignment="1">
      <alignment vertical="center" wrapText="1"/>
    </xf>
    <xf numFmtId="0" fontId="32" fillId="0" borderId="41" xfId="0" applyFont="1" applyBorder="1" applyAlignment="1">
      <alignment horizontal="left" vertical="center" wrapText="1"/>
    </xf>
    <xf numFmtId="49" fontId="3" fillId="0" borderId="39" xfId="0" applyNumberFormat="1" applyFont="1" applyBorder="1" applyAlignment="1">
      <alignment vertical="center" wrapText="1"/>
    </xf>
    <xf numFmtId="0" fontId="9" fillId="2" borderId="118" xfId="1" applyFont="1" applyFill="1" applyBorder="1" applyAlignment="1">
      <alignment vertical="center" wrapText="1"/>
    </xf>
    <xf numFmtId="49" fontId="3" fillId="2" borderId="116" xfId="0" applyNumberFormat="1" applyFont="1" applyFill="1" applyBorder="1" applyAlignment="1">
      <alignment vertical="center" wrapText="1"/>
    </xf>
    <xf numFmtId="0" fontId="9" fillId="5" borderId="118" xfId="1" applyFont="1" applyFill="1" applyBorder="1" applyAlignment="1">
      <alignment vertical="center" wrapText="1"/>
    </xf>
    <xf numFmtId="49" fontId="3" fillId="5" borderId="116" xfId="0" applyNumberFormat="1" applyFont="1" applyFill="1" applyBorder="1" applyAlignment="1">
      <alignment vertical="center" wrapText="1"/>
    </xf>
    <xf numFmtId="0" fontId="34" fillId="0" borderId="14" xfId="0" applyFont="1" applyBorder="1" applyAlignment="1">
      <alignment horizontal="left" vertical="center" wrapText="1"/>
    </xf>
    <xf numFmtId="0" fontId="9" fillId="13" borderId="118" xfId="1" applyFont="1" applyFill="1" applyBorder="1" applyAlignment="1">
      <alignment vertical="center" wrapText="1"/>
    </xf>
    <xf numFmtId="49" fontId="3" fillId="13" borderId="116" xfId="0" applyNumberFormat="1" applyFont="1" applyFill="1" applyBorder="1" applyAlignment="1">
      <alignment vertical="center" wrapText="1"/>
    </xf>
    <xf numFmtId="0" fontId="57" fillId="14" borderId="76" xfId="0" applyFont="1" applyFill="1" applyBorder="1" applyAlignment="1">
      <alignment horizontal="left" vertical="center" wrapText="1"/>
    </xf>
    <xf numFmtId="0" fontId="56" fillId="14" borderId="139" xfId="1" applyFont="1" applyFill="1" applyBorder="1" applyAlignment="1">
      <alignment vertical="center" wrapText="1"/>
    </xf>
    <xf numFmtId="49" fontId="3" fillId="14" borderId="140" xfId="0" applyNumberFormat="1" applyFont="1" applyFill="1" applyBorder="1" applyAlignment="1">
      <alignment vertical="center" wrapText="1"/>
    </xf>
    <xf numFmtId="0" fontId="17" fillId="7" borderId="80" xfId="5" applyFont="1" applyFill="1" applyBorder="1"/>
    <xf numFmtId="0" fontId="17" fillId="7" borderId="27" xfId="5" applyFont="1" applyFill="1" applyBorder="1"/>
    <xf numFmtId="49" fontId="46" fillId="0" borderId="109" xfId="0" applyNumberFormat="1" applyFont="1" applyBorder="1" applyAlignment="1" applyProtection="1">
      <alignment horizontal="center" vertical="center"/>
      <protection locked="0"/>
    </xf>
    <xf numFmtId="0" fontId="29" fillId="7" borderId="50" xfId="0" applyFont="1" applyFill="1" applyBorder="1" applyAlignment="1">
      <alignment horizontal="center" vertical="center" wrapText="1"/>
    </xf>
    <xf numFmtId="0" fontId="29" fillId="7" borderId="34" xfId="0" applyFont="1" applyFill="1" applyBorder="1" applyAlignment="1">
      <alignment horizontal="center" vertical="center" wrapText="1"/>
    </xf>
    <xf numFmtId="49" fontId="46" fillId="0" borderId="103" xfId="0" applyNumberFormat="1" applyFont="1" applyBorder="1" applyAlignment="1" applyProtection="1">
      <alignment horizontal="center" vertical="center"/>
      <protection locked="0"/>
    </xf>
    <xf numFmtId="49" fontId="46" fillId="0" borderId="106" xfId="0" applyNumberFormat="1" applyFont="1" applyBorder="1" applyAlignment="1" applyProtection="1">
      <alignment horizontal="center" vertical="center"/>
      <protection locked="0"/>
    </xf>
    <xf numFmtId="0" fontId="37" fillId="0" borderId="0" xfId="0" applyFont="1" applyAlignment="1" applyProtection="1">
      <alignment horizontal="left" vertical="center"/>
      <protection locked="0"/>
    </xf>
    <xf numFmtId="0" fontId="37" fillId="0" borderId="83" xfId="0" applyFont="1" applyBorder="1" applyAlignment="1" applyProtection="1">
      <alignment horizontal="left" vertical="center"/>
      <protection locked="0"/>
    </xf>
    <xf numFmtId="0" fontId="18" fillId="7" borderId="80" xfId="0" applyFont="1" applyFill="1" applyBorder="1" applyAlignment="1">
      <alignment horizontal="center" vertical="center" wrapText="1"/>
    </xf>
    <xf numFmtId="0" fontId="18" fillId="7" borderId="27" xfId="0" applyFont="1" applyFill="1" applyBorder="1" applyAlignment="1">
      <alignment horizontal="center" vertical="center" wrapText="1"/>
    </xf>
    <xf numFmtId="0" fontId="18" fillId="7" borderId="81" xfId="0" applyFont="1" applyFill="1" applyBorder="1" applyAlignment="1">
      <alignment horizontal="center" vertical="center" wrapText="1"/>
    </xf>
    <xf numFmtId="0" fontId="45" fillId="0" borderId="77" xfId="0" applyFont="1" applyBorder="1" applyAlignment="1" applyProtection="1">
      <alignment horizontal="left" vertical="center"/>
      <protection locked="0"/>
    </xf>
    <xf numFmtId="0" fontId="45" fillId="0" borderId="86"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5" fillId="0" borderId="83" xfId="0" applyFont="1" applyBorder="1" applyAlignment="1" applyProtection="1">
      <alignment horizontal="left" vertical="center"/>
      <protection locked="0"/>
    </xf>
    <xf numFmtId="0" fontId="29" fillId="7" borderId="78" xfId="0" applyFont="1" applyFill="1" applyBorder="1" applyAlignment="1">
      <alignment horizontal="center" vertical="center" wrapText="1"/>
    </xf>
    <xf numFmtId="0" fontId="29" fillId="7" borderId="79" xfId="0" applyFont="1" applyFill="1" applyBorder="1" applyAlignment="1">
      <alignment horizontal="center" vertical="center" wrapText="1"/>
    </xf>
    <xf numFmtId="0" fontId="26" fillId="0" borderId="91" xfId="0" applyFont="1" applyBorder="1" applyAlignment="1" applyProtection="1">
      <alignment horizontal="left" vertical="center" wrapText="1"/>
      <protection locked="0"/>
    </xf>
    <xf numFmtId="0" fontId="26" fillId="0" borderId="94" xfId="0" applyFont="1" applyBorder="1" applyAlignment="1" applyProtection="1">
      <alignment horizontal="left" vertical="center" wrapText="1"/>
      <protection locked="0"/>
    </xf>
    <xf numFmtId="0" fontId="31" fillId="0" borderId="100" xfId="0" applyFont="1" applyBorder="1" applyAlignment="1" applyProtection="1">
      <alignment horizontal="left" vertical="center" wrapText="1"/>
      <protection locked="0"/>
    </xf>
    <xf numFmtId="0" fontId="37" fillId="0" borderId="77" xfId="0" applyFont="1" applyBorder="1" applyAlignment="1" applyProtection="1">
      <alignment horizontal="left" vertical="center"/>
      <protection locked="0"/>
    </xf>
    <xf numFmtId="0" fontId="29" fillId="7" borderId="82" xfId="0" applyFont="1" applyFill="1" applyBorder="1" applyAlignment="1">
      <alignment horizontal="center" vertical="center" wrapText="1"/>
    </xf>
    <xf numFmtId="0" fontId="48" fillId="7" borderId="88" xfId="0" applyFont="1" applyFill="1" applyBorder="1" applyAlignment="1">
      <alignment horizontal="left" vertical="center" wrapText="1"/>
    </xf>
    <xf numFmtId="0" fontId="48" fillId="7" borderId="8" xfId="0" applyFont="1" applyFill="1" applyBorder="1" applyAlignment="1">
      <alignment horizontal="left" vertical="center" wrapText="1"/>
    </xf>
    <xf numFmtId="0" fontId="48" fillId="7" borderId="97" xfId="0" applyFont="1" applyFill="1" applyBorder="1" applyAlignment="1">
      <alignment horizontal="left" vertical="center" wrapText="1"/>
    </xf>
    <xf numFmtId="0" fontId="48" fillId="7" borderId="98" xfId="0" applyFont="1" applyFill="1" applyBorder="1" applyAlignment="1">
      <alignment horizontal="left" vertical="center" wrapText="1"/>
    </xf>
    <xf numFmtId="0" fontId="18" fillId="7" borderId="82" xfId="0" applyFont="1" applyFill="1" applyBorder="1" applyAlignment="1">
      <alignment horizontal="center" vertical="center" wrapText="1"/>
    </xf>
    <xf numFmtId="0" fontId="18" fillId="7" borderId="0" xfId="0" applyFont="1" applyFill="1" applyAlignment="1">
      <alignment horizontal="center" vertical="center" wrapText="1"/>
    </xf>
    <xf numFmtId="0" fontId="18" fillId="7" borderId="83" xfId="0" applyFont="1" applyFill="1" applyBorder="1" applyAlignment="1">
      <alignment horizontal="center" vertical="center" wrapText="1"/>
    </xf>
    <xf numFmtId="0" fontId="37" fillId="0" borderId="96" xfId="0" applyFont="1" applyBorder="1" applyAlignment="1" applyProtection="1">
      <alignment horizontal="left" vertical="center"/>
      <protection locked="0"/>
    </xf>
    <xf numFmtId="0" fontId="48" fillId="7" borderId="82" xfId="0" applyFont="1" applyFill="1" applyBorder="1" applyAlignment="1">
      <alignment horizontal="right" vertical="center" wrapText="1"/>
    </xf>
    <xf numFmtId="0" fontId="48" fillId="7" borderId="0" xfId="0" applyFont="1" applyFill="1" applyAlignment="1">
      <alignment horizontal="right" vertical="center"/>
    </xf>
    <xf numFmtId="0" fontId="17" fillId="7" borderId="80" xfId="0" applyFont="1" applyFill="1" applyBorder="1" applyAlignment="1">
      <alignment horizontal="center"/>
    </xf>
    <xf numFmtId="0" fontId="17" fillId="7" borderId="27" xfId="0" applyFont="1" applyFill="1" applyBorder="1" applyAlignment="1">
      <alignment horizontal="center"/>
    </xf>
    <xf numFmtId="0" fontId="17" fillId="7" borderId="81" xfId="0" applyFont="1" applyFill="1" applyBorder="1" applyAlignment="1">
      <alignment horizontal="center"/>
    </xf>
    <xf numFmtId="0" fontId="42" fillId="7" borderId="82" xfId="0" applyFont="1" applyFill="1" applyBorder="1" applyAlignment="1">
      <alignment horizontal="left" vertical="center"/>
    </xf>
    <xf numFmtId="0" fontId="42" fillId="7" borderId="0" xfId="0" applyFont="1" applyFill="1" applyAlignment="1">
      <alignment horizontal="left" vertical="center"/>
    </xf>
    <xf numFmtId="0" fontId="42" fillId="7" borderId="83" xfId="0" applyFont="1" applyFill="1" applyBorder="1" applyAlignment="1">
      <alignment horizontal="left" vertical="center"/>
    </xf>
    <xf numFmtId="0" fontId="18" fillId="7" borderId="82" xfId="0" applyFont="1" applyFill="1" applyBorder="1" applyAlignment="1">
      <alignment horizontal="left" vertical="center"/>
    </xf>
    <xf numFmtId="0" fontId="18" fillId="7" borderId="0" xfId="0" applyFont="1" applyFill="1" applyAlignment="1">
      <alignment horizontal="left" vertical="center"/>
    </xf>
    <xf numFmtId="0" fontId="18" fillId="7" borderId="83" xfId="0" applyFont="1" applyFill="1" applyBorder="1" applyAlignment="1">
      <alignment horizontal="left" vertical="center"/>
    </xf>
    <xf numFmtId="0" fontId="25" fillId="10" borderId="6" xfId="0" applyFont="1" applyFill="1" applyBorder="1" applyAlignment="1">
      <alignment horizontal="center" textRotation="90" wrapText="1"/>
    </xf>
    <xf numFmtId="0" fontId="25" fillId="10" borderId="29" xfId="0" applyFont="1" applyFill="1" applyBorder="1" applyAlignment="1">
      <alignment horizontal="center" textRotation="90" wrapText="1"/>
    </xf>
    <xf numFmtId="0" fontId="25" fillId="8" borderId="22" xfId="0" applyFont="1" applyFill="1" applyBorder="1" applyAlignment="1">
      <alignment horizontal="center" vertical="center"/>
    </xf>
    <xf numFmtId="0" fontId="25" fillId="8" borderId="0" xfId="0" applyFont="1" applyFill="1" applyAlignment="1">
      <alignment horizontal="center" vertical="center"/>
    </xf>
    <xf numFmtId="0" fontId="25" fillId="8" borderId="23" xfId="0" applyFont="1" applyFill="1" applyBorder="1" applyAlignment="1">
      <alignment horizontal="center" vertical="center"/>
    </xf>
    <xf numFmtId="0" fontId="25" fillId="2" borderId="22" xfId="0" applyFont="1" applyFill="1" applyBorder="1" applyAlignment="1">
      <alignment horizontal="center" vertical="center"/>
    </xf>
    <xf numFmtId="0" fontId="25" fillId="2" borderId="0" xfId="0" applyFont="1" applyFill="1" applyAlignment="1">
      <alignment horizontal="center" vertical="center"/>
    </xf>
    <xf numFmtId="0" fontId="25" fillId="10" borderId="22" xfId="0" applyFont="1" applyFill="1" applyBorder="1" applyAlignment="1">
      <alignment horizontal="center" vertical="center"/>
    </xf>
    <xf numFmtId="0" fontId="25" fillId="10" borderId="0" xfId="0" applyFont="1" applyFill="1" applyAlignment="1">
      <alignment horizontal="center" vertical="center"/>
    </xf>
    <xf numFmtId="0" fontId="25" fillId="8" borderId="16" xfId="0" applyFont="1" applyFill="1" applyBorder="1" applyAlignment="1">
      <alignment horizontal="center" textRotation="90" wrapText="1"/>
    </xf>
    <xf numFmtId="0" fontId="25" fillId="8" borderId="32" xfId="0" applyFont="1" applyFill="1" applyBorder="1" applyAlignment="1">
      <alignment horizontal="center" textRotation="90" wrapText="1"/>
    </xf>
    <xf numFmtId="0" fontId="25" fillId="8" borderId="6" xfId="0" applyFont="1" applyFill="1" applyBorder="1" applyAlignment="1">
      <alignment horizontal="center" textRotation="90" wrapText="1"/>
    </xf>
    <xf numFmtId="0" fontId="25" fillId="8" borderId="29" xfId="0" applyFont="1" applyFill="1" applyBorder="1" applyAlignment="1">
      <alignment horizontal="center" textRotation="90" wrapText="1"/>
    </xf>
    <xf numFmtId="0" fontId="25" fillId="10" borderId="18" xfId="0" applyFont="1" applyFill="1" applyBorder="1" applyAlignment="1">
      <alignment horizontal="center" textRotation="90" wrapText="1"/>
    </xf>
    <xf numFmtId="0" fontId="25" fillId="10" borderId="30" xfId="0" applyFont="1" applyFill="1" applyBorder="1" applyAlignment="1">
      <alignment horizontal="center" textRotation="90" wrapText="1"/>
    </xf>
    <xf numFmtId="0" fontId="25" fillId="2" borderId="6" xfId="0" applyFont="1" applyFill="1" applyBorder="1" applyAlignment="1">
      <alignment horizontal="center" textRotation="90" wrapText="1"/>
    </xf>
    <xf numFmtId="0" fontId="25" fillId="2" borderId="29" xfId="0" applyFont="1" applyFill="1" applyBorder="1" applyAlignment="1">
      <alignment horizontal="center" textRotation="90" wrapText="1"/>
    </xf>
    <xf numFmtId="0" fontId="26" fillId="2" borderId="6" xfId="0" applyFont="1" applyFill="1" applyBorder="1" applyAlignment="1">
      <alignment horizontal="center" vertical="center" wrapText="1"/>
    </xf>
    <xf numFmtId="0" fontId="26" fillId="2" borderId="29" xfId="0" applyFont="1" applyFill="1" applyBorder="1" applyAlignment="1">
      <alignment horizontal="center" vertical="center" wrapText="1"/>
    </xf>
    <xf numFmtId="0" fontId="25" fillId="10" borderId="16" xfId="0" applyFont="1" applyFill="1" applyBorder="1" applyAlignment="1">
      <alignment horizontal="center" textRotation="90" wrapText="1"/>
    </xf>
    <xf numFmtId="0" fontId="25" fillId="10" borderId="32" xfId="0" applyFont="1" applyFill="1" applyBorder="1" applyAlignment="1">
      <alignment horizontal="center" textRotation="90" wrapText="1"/>
    </xf>
    <xf numFmtId="0" fontId="25" fillId="2" borderId="18" xfId="0" applyFont="1" applyFill="1" applyBorder="1" applyAlignment="1">
      <alignment horizontal="center" textRotation="90" wrapText="1"/>
    </xf>
    <xf numFmtId="0" fontId="25" fillId="2" borderId="30" xfId="0" applyFont="1" applyFill="1" applyBorder="1" applyAlignment="1">
      <alignment horizontal="center" textRotation="90" wrapText="1"/>
    </xf>
    <xf numFmtId="0" fontId="24" fillId="7" borderId="50" xfId="0" applyFont="1" applyFill="1" applyBorder="1" applyAlignment="1">
      <alignment horizontal="center" vertical="center" wrapText="1"/>
    </xf>
    <xf numFmtId="0" fontId="24" fillId="7" borderId="51" xfId="0" applyFont="1" applyFill="1" applyBorder="1" applyAlignment="1">
      <alignment horizontal="center" vertical="center" wrapText="1"/>
    </xf>
    <xf numFmtId="0" fontId="26" fillId="13" borderId="121" xfId="2" applyFont="1" applyFill="1" applyBorder="1" applyAlignment="1" applyProtection="1">
      <alignment horizontal="left" vertical="center" wrapText="1"/>
      <protection locked="0"/>
    </xf>
    <xf numFmtId="0" fontId="60" fillId="13" borderId="4" xfId="0" applyFont="1" applyFill="1" applyBorder="1" applyAlignment="1">
      <alignment horizontal="center" vertical="center" textRotation="90"/>
    </xf>
    <xf numFmtId="0" fontId="60" fillId="13" borderId="0" xfId="0" applyFont="1" applyFill="1" applyAlignment="1">
      <alignment horizontal="center" vertical="center" textRotation="90"/>
    </xf>
    <xf numFmtId="0" fontId="60" fillId="13" borderId="124" xfId="0" applyFont="1" applyFill="1" applyBorder="1" applyAlignment="1">
      <alignment horizontal="center" vertical="center" textRotation="90"/>
    </xf>
    <xf numFmtId="0" fontId="12" fillId="7" borderId="36" xfId="0" applyFont="1" applyFill="1" applyBorder="1" applyAlignment="1">
      <alignment horizontal="center" vertical="center" wrapText="1"/>
    </xf>
    <xf numFmtId="0" fontId="12" fillId="7" borderId="34" xfId="0" applyFont="1" applyFill="1" applyBorder="1" applyAlignment="1">
      <alignment horizontal="center" vertical="center" wrapText="1"/>
    </xf>
    <xf numFmtId="0" fontId="12" fillId="7" borderId="42" xfId="0" applyFont="1" applyFill="1" applyBorder="1" applyAlignment="1">
      <alignment horizontal="center" vertical="center" wrapText="1"/>
    </xf>
    <xf numFmtId="0" fontId="29" fillId="7" borderId="37" xfId="0" applyFont="1" applyFill="1" applyBorder="1" applyAlignment="1">
      <alignment horizontal="center" vertical="center" wrapText="1"/>
    </xf>
    <xf numFmtId="0" fontId="29" fillId="7" borderId="38" xfId="0" applyFont="1" applyFill="1" applyBorder="1" applyAlignment="1">
      <alignment horizontal="center" vertical="center" wrapText="1"/>
    </xf>
    <xf numFmtId="0" fontId="29" fillId="7" borderId="43" xfId="0" applyFont="1" applyFill="1" applyBorder="1" applyAlignment="1">
      <alignment horizontal="center" vertical="center" wrapText="1"/>
    </xf>
    <xf numFmtId="0" fontId="22" fillId="14" borderId="75" xfId="2" applyFont="1" applyFill="1" applyBorder="1" applyAlignment="1" applyProtection="1">
      <alignment horizontal="left" vertical="center" wrapText="1"/>
      <protection locked="0"/>
    </xf>
    <xf numFmtId="0" fontId="22" fillId="14" borderId="123" xfId="2" applyFont="1" applyFill="1" applyBorder="1" applyAlignment="1" applyProtection="1">
      <alignment horizontal="left" vertical="center" wrapText="1"/>
      <protection locked="0"/>
    </xf>
    <xf numFmtId="0" fontId="60" fillId="4" borderId="44" xfId="0" applyFont="1" applyFill="1" applyBorder="1" applyAlignment="1">
      <alignment horizontal="center" vertical="center" textRotation="90"/>
    </xf>
    <xf numFmtId="0" fontId="60" fillId="4" borderId="5" xfId="0" applyFont="1" applyFill="1" applyBorder="1" applyAlignment="1">
      <alignment horizontal="center" vertical="center" textRotation="90"/>
    </xf>
    <xf numFmtId="0" fontId="60" fillId="4" borderId="122" xfId="0" applyFont="1" applyFill="1" applyBorder="1" applyAlignment="1">
      <alignment horizontal="center" vertical="center" textRotation="90"/>
    </xf>
    <xf numFmtId="0" fontId="26" fillId="4" borderId="121" xfId="2" applyFont="1" applyFill="1" applyBorder="1" applyAlignment="1" applyProtection="1">
      <alignment horizontal="left" vertical="center" wrapText="1"/>
      <protection locked="0"/>
    </xf>
    <xf numFmtId="0" fontId="26" fillId="2" borderId="121" xfId="2" applyFont="1" applyFill="1" applyBorder="1" applyAlignment="1" applyProtection="1">
      <alignment horizontal="left" vertical="center" wrapText="1"/>
      <protection locked="0"/>
    </xf>
    <xf numFmtId="0" fontId="60" fillId="2" borderId="44" xfId="0" applyFont="1" applyFill="1" applyBorder="1" applyAlignment="1">
      <alignment horizontal="center" vertical="center" textRotation="90"/>
    </xf>
    <xf numFmtId="0" fontId="60" fillId="2" borderId="5" xfId="0" applyFont="1" applyFill="1" applyBorder="1" applyAlignment="1">
      <alignment horizontal="center" vertical="center" textRotation="90"/>
    </xf>
    <xf numFmtId="0" fontId="60" fillId="2" borderId="122" xfId="0" applyFont="1" applyFill="1" applyBorder="1" applyAlignment="1">
      <alignment horizontal="center" vertical="center" textRotation="90"/>
    </xf>
    <xf numFmtId="0" fontId="26" fillId="5" borderId="121" xfId="2" applyFont="1" applyFill="1" applyBorder="1" applyAlignment="1" applyProtection="1">
      <alignment horizontal="left" vertical="center" wrapText="1"/>
      <protection locked="0"/>
    </xf>
    <xf numFmtId="0" fontId="60" fillId="5" borderId="44" xfId="0" applyFont="1" applyFill="1" applyBorder="1" applyAlignment="1">
      <alignment horizontal="center" vertical="center" textRotation="90"/>
    </xf>
    <xf numFmtId="0" fontId="60" fillId="5" borderId="5" xfId="0" applyFont="1" applyFill="1" applyBorder="1" applyAlignment="1">
      <alignment horizontal="center" vertical="center" textRotation="90"/>
    </xf>
    <xf numFmtId="0" fontId="60" fillId="5" borderId="122" xfId="0" applyFont="1" applyFill="1" applyBorder="1" applyAlignment="1">
      <alignment horizontal="center" vertical="center" textRotation="90"/>
    </xf>
    <xf numFmtId="0" fontId="22" fillId="8" borderId="48" xfId="0" applyFont="1" applyFill="1" applyBorder="1" applyAlignment="1" applyProtection="1">
      <alignment horizontal="center" vertical="center"/>
      <protection locked="0"/>
    </xf>
    <xf numFmtId="0" fontId="22" fillId="8" borderId="49" xfId="0" applyFont="1" applyFill="1" applyBorder="1" applyAlignment="1" applyProtection="1">
      <alignment horizontal="center" vertical="center"/>
      <protection locked="0"/>
    </xf>
    <xf numFmtId="0" fontId="22" fillId="9" borderId="48" xfId="0" applyFont="1" applyFill="1" applyBorder="1" applyAlignment="1" applyProtection="1">
      <alignment horizontal="center" vertical="center"/>
      <protection locked="0"/>
    </xf>
    <xf numFmtId="0" fontId="22" fillId="9" borderId="49" xfId="0" applyFont="1" applyFill="1" applyBorder="1" applyAlignment="1" applyProtection="1">
      <alignment horizontal="center" vertical="center"/>
      <protection locked="0"/>
    </xf>
    <xf numFmtId="0" fontId="29" fillId="7" borderId="16" xfId="0" applyFont="1" applyFill="1" applyBorder="1" applyAlignment="1">
      <alignment horizontal="center" vertical="center" wrapText="1"/>
    </xf>
    <xf numFmtId="0" fontId="29" fillId="7" borderId="32" xfId="0" applyFont="1" applyFill="1" applyBorder="1" applyAlignment="1">
      <alignment horizontal="center" vertical="center" wrapText="1"/>
    </xf>
    <xf numFmtId="0" fontId="29" fillId="7" borderId="141" xfId="0" applyFont="1" applyFill="1" applyBorder="1" applyAlignment="1">
      <alignment horizontal="center" vertical="center" wrapText="1"/>
    </xf>
    <xf numFmtId="0" fontId="29" fillId="7" borderId="27" xfId="0" applyFont="1" applyFill="1" applyBorder="1" applyAlignment="1">
      <alignment horizontal="center" vertical="center" wrapText="1"/>
    </xf>
    <xf numFmtId="0" fontId="29" fillId="7" borderId="81" xfId="0" applyFont="1" applyFill="1" applyBorder="1" applyAlignment="1">
      <alignment horizontal="center" vertical="center" wrapText="1"/>
    </xf>
    <xf numFmtId="0" fontId="12" fillId="7" borderId="83" xfId="0" applyFont="1" applyFill="1" applyBorder="1" applyAlignment="1">
      <alignment horizontal="center" vertical="center" wrapText="1"/>
    </xf>
    <xf numFmtId="0" fontId="12" fillId="7" borderId="147" xfId="0" applyFont="1" applyFill="1" applyBorder="1" applyAlignment="1">
      <alignment horizontal="center" vertical="center" wrapText="1"/>
    </xf>
    <xf numFmtId="49" fontId="29" fillId="7" borderId="6" xfId="0" applyNumberFormat="1" applyFont="1" applyFill="1" applyBorder="1" applyAlignment="1">
      <alignment horizontal="center" vertical="center" wrapText="1"/>
    </xf>
    <xf numFmtId="49" fontId="29" fillId="7" borderId="29" xfId="0" applyNumberFormat="1" applyFont="1" applyFill="1" applyBorder="1" applyAlignment="1">
      <alignment horizontal="center" vertical="center" wrapText="1"/>
    </xf>
    <xf numFmtId="0" fontId="20" fillId="7" borderId="26" xfId="0" applyFont="1" applyFill="1" applyBorder="1" applyAlignment="1">
      <alignment horizontal="center" vertical="center"/>
    </xf>
    <xf numFmtId="0" fontId="20" fillId="7" borderId="27" xfId="0" applyFont="1" applyFill="1" applyBorder="1" applyAlignment="1">
      <alignment horizontal="center" vertical="center"/>
    </xf>
    <xf numFmtId="0" fontId="26" fillId="8" borderId="12" xfId="0" applyFont="1" applyFill="1" applyBorder="1" applyAlignment="1">
      <alignment horizontal="center" vertical="center" wrapText="1"/>
    </xf>
    <xf numFmtId="0" fontId="26" fillId="8" borderId="33" xfId="0" applyFont="1" applyFill="1" applyBorder="1" applyAlignment="1">
      <alignment horizontal="center" vertical="center" wrapText="1"/>
    </xf>
    <xf numFmtId="0" fontId="25" fillId="2" borderId="16" xfId="0" applyFont="1" applyFill="1" applyBorder="1" applyAlignment="1">
      <alignment horizontal="center" textRotation="90" wrapText="1"/>
    </xf>
    <xf numFmtId="0" fontId="25" fillId="2" borderId="32" xfId="0" applyFont="1" applyFill="1" applyBorder="1" applyAlignment="1">
      <alignment horizontal="center" textRotation="90" wrapText="1"/>
    </xf>
    <xf numFmtId="0" fontId="42" fillId="7" borderId="0" xfId="0" applyFont="1" applyFill="1" applyAlignment="1">
      <alignment horizontal="left" vertical="center" wrapText="1"/>
    </xf>
    <xf numFmtId="0" fontId="18" fillId="7" borderId="0" xfId="0" applyFont="1" applyFill="1" applyAlignment="1">
      <alignment horizontal="right" vertical="center"/>
    </xf>
    <xf numFmtId="0" fontId="18" fillId="7" borderId="23" xfId="0" applyFont="1" applyFill="1" applyBorder="1" applyAlignment="1">
      <alignment horizontal="right" vertical="center"/>
    </xf>
    <xf numFmtId="0" fontId="18" fillId="7" borderId="0" xfId="0" applyFont="1" applyFill="1" applyAlignment="1">
      <alignment horizontal="right"/>
    </xf>
    <xf numFmtId="0" fontId="18" fillId="7" borderId="23" xfId="0" applyFont="1" applyFill="1" applyBorder="1" applyAlignment="1">
      <alignment horizontal="right"/>
    </xf>
    <xf numFmtId="0" fontId="26" fillId="10" borderId="28" xfId="0" applyFont="1" applyFill="1" applyBorder="1" applyAlignment="1">
      <alignment horizontal="center" vertical="center" wrapText="1"/>
    </xf>
    <xf numFmtId="0" fontId="26" fillId="10" borderId="31" xfId="0" applyFont="1" applyFill="1" applyBorder="1" applyAlignment="1">
      <alignment horizontal="center" vertical="center" wrapText="1"/>
    </xf>
    <xf numFmtId="0" fontId="51" fillId="10" borderId="126" xfId="6" applyNumberFormat="1" applyFont="1" applyFill="1" applyBorder="1" applyAlignment="1">
      <alignment horizontal="center" vertical="center" wrapText="1"/>
    </xf>
    <xf numFmtId="0" fontId="51" fillId="10" borderId="128" xfId="6" applyNumberFormat="1" applyFont="1" applyFill="1" applyBorder="1" applyAlignment="1">
      <alignment horizontal="center" vertical="center" wrapText="1"/>
    </xf>
    <xf numFmtId="0" fontId="51" fillId="12" borderId="127" xfId="0" applyFont="1" applyFill="1" applyBorder="1" applyAlignment="1">
      <alignment horizontal="center" vertical="center"/>
    </xf>
    <xf numFmtId="0" fontId="51" fillId="12" borderId="129" xfId="0" applyFont="1" applyFill="1" applyBorder="1" applyAlignment="1">
      <alignment horizontal="center" vertical="center"/>
    </xf>
    <xf numFmtId="0" fontId="51" fillId="6" borderId="126" xfId="6" applyNumberFormat="1" applyFont="1" applyFill="1" applyBorder="1" applyAlignment="1">
      <alignment horizontal="center" vertical="center" wrapText="1"/>
    </xf>
    <xf numFmtId="0" fontId="51" fillId="6" borderId="125" xfId="6" applyNumberFormat="1" applyFont="1" applyFill="1" applyBorder="1" applyAlignment="1">
      <alignment horizontal="center" vertical="center" wrapText="1"/>
    </xf>
    <xf numFmtId="0" fontId="51" fillId="2" borderId="126" xfId="0" applyFont="1" applyFill="1" applyBorder="1" applyAlignment="1">
      <alignment horizontal="center" vertical="center"/>
    </xf>
    <xf numFmtId="0" fontId="51" fillId="2" borderId="125" xfId="0" applyFont="1" applyFill="1" applyBorder="1" applyAlignment="1">
      <alignment horizontal="center" vertical="center"/>
    </xf>
    <xf numFmtId="0" fontId="35" fillId="7" borderId="0" xfId="0" applyFont="1" applyFill="1" applyAlignment="1">
      <alignment horizontal="left" vertical="center" wrapText="1"/>
    </xf>
    <xf numFmtId="0" fontId="35" fillId="7" borderId="0" xfId="5" applyFont="1" applyFill="1" applyAlignment="1">
      <alignment horizontal="center"/>
    </xf>
    <xf numFmtId="0" fontId="39" fillId="0" borderId="55" xfId="5" applyFont="1" applyBorder="1" applyAlignment="1">
      <alignment horizontal="center" vertical="center"/>
    </xf>
    <xf numFmtId="0" fontId="39" fillId="0" borderId="68" xfId="5" applyFont="1" applyBorder="1" applyAlignment="1">
      <alignment horizontal="center" vertical="center"/>
    </xf>
    <xf numFmtId="0" fontId="39" fillId="0" borderId="64" xfId="5" applyFont="1" applyBorder="1" applyAlignment="1">
      <alignment horizontal="center" vertical="center"/>
    </xf>
    <xf numFmtId="0" fontId="3" fillId="0" borderId="56" xfId="5" applyFont="1" applyBorder="1" applyAlignment="1">
      <alignment horizontal="left" vertical="top" wrapText="1"/>
    </xf>
    <xf numFmtId="0" fontId="3" fillId="0" borderId="67" xfId="5" applyFont="1" applyBorder="1" applyAlignment="1">
      <alignment horizontal="left" vertical="top" wrapText="1"/>
    </xf>
    <xf numFmtId="0" fontId="3" fillId="0" borderId="57" xfId="5" applyFont="1" applyBorder="1" applyAlignment="1">
      <alignment horizontal="left" vertical="top" wrapText="1"/>
    </xf>
    <xf numFmtId="0" fontId="36" fillId="7" borderId="65" xfId="5" applyFont="1" applyFill="1" applyBorder="1" applyAlignment="1">
      <alignment horizontal="center"/>
    </xf>
    <xf numFmtId="0" fontId="36" fillId="7" borderId="66" xfId="5" applyFont="1" applyFill="1" applyBorder="1" applyAlignment="1">
      <alignment horizontal="center"/>
    </xf>
    <xf numFmtId="0" fontId="36" fillId="7" borderId="62" xfId="5" applyFont="1" applyFill="1" applyBorder="1" applyAlignment="1">
      <alignment horizontal="center"/>
    </xf>
    <xf numFmtId="0" fontId="36" fillId="7" borderId="63" xfId="5" applyFont="1" applyFill="1" applyBorder="1" applyAlignment="1">
      <alignment horizontal="center"/>
    </xf>
    <xf numFmtId="0" fontId="36" fillId="0" borderId="65" xfId="5" applyFont="1" applyBorder="1" applyAlignment="1">
      <alignment horizontal="center"/>
    </xf>
    <xf numFmtId="0" fontId="36" fillId="0" borderId="66" xfId="5" applyFont="1" applyBorder="1" applyAlignment="1">
      <alignment horizontal="center"/>
    </xf>
    <xf numFmtId="0" fontId="25" fillId="0" borderId="55" xfId="5" applyFont="1" applyBorder="1" applyAlignment="1">
      <alignment horizontal="center"/>
    </xf>
    <xf numFmtId="0" fontId="25" fillId="0" borderId="56" xfId="5" applyFont="1" applyBorder="1" applyAlignment="1">
      <alignment horizontal="center"/>
    </xf>
    <xf numFmtId="0" fontId="25" fillId="4" borderId="55" xfId="5" applyFont="1" applyFill="1" applyBorder="1" applyAlignment="1">
      <alignment horizontal="center"/>
    </xf>
    <xf numFmtId="0" fontId="25" fillId="4" borderId="56" xfId="5" applyFont="1" applyFill="1" applyBorder="1" applyAlignment="1">
      <alignment horizontal="center"/>
    </xf>
    <xf numFmtId="0" fontId="36" fillId="7" borderId="150" xfId="5" applyFont="1" applyFill="1" applyBorder="1" applyAlignment="1">
      <alignment horizontal="center"/>
    </xf>
    <xf numFmtId="0" fontId="36" fillId="7" borderId="151" xfId="5" applyFont="1" applyFill="1" applyBorder="1" applyAlignment="1">
      <alignment horizontal="center"/>
    </xf>
    <xf numFmtId="0" fontId="36" fillId="7" borderId="17" xfId="5" applyFont="1" applyFill="1" applyBorder="1" applyAlignment="1">
      <alignment horizontal="center"/>
    </xf>
    <xf numFmtId="0" fontId="25" fillId="7" borderId="0" xfId="5" applyFont="1" applyFill="1" applyAlignment="1">
      <alignment horizontal="center"/>
    </xf>
    <xf numFmtId="0" fontId="39" fillId="7" borderId="0" xfId="5" applyFont="1" applyFill="1" applyAlignment="1">
      <alignment horizontal="center" vertical="center"/>
    </xf>
    <xf numFmtId="0" fontId="3" fillId="7" borderId="0" xfId="5" applyFont="1" applyFill="1" applyAlignment="1">
      <alignment horizontal="left" vertical="top" wrapText="1"/>
    </xf>
    <xf numFmtId="0" fontId="36" fillId="7" borderId="0" xfId="5" applyFont="1" applyFill="1" applyAlignment="1">
      <alignment horizontal="center"/>
    </xf>
    <xf numFmtId="0" fontId="39" fillId="0" borderId="58" xfId="5" applyFont="1" applyBorder="1" applyAlignment="1">
      <alignment horizontal="center" vertical="center"/>
    </xf>
    <xf numFmtId="0" fontId="3" fillId="0" borderId="59" xfId="5" applyFont="1" applyBorder="1" applyAlignment="1">
      <alignment horizontal="left" vertical="top" wrapText="1"/>
    </xf>
    <xf numFmtId="0" fontId="40" fillId="11" borderId="19" xfId="5" applyFont="1" applyFill="1" applyBorder="1" applyAlignment="1">
      <alignment horizontal="center" vertical="center" wrapText="1"/>
    </xf>
    <xf numFmtId="0" fontId="40" fillId="11" borderId="71" xfId="5" applyFont="1" applyFill="1" applyBorder="1" applyAlignment="1">
      <alignment horizontal="center" vertical="center" wrapText="1"/>
    </xf>
    <xf numFmtId="0" fontId="40" fillId="11" borderId="20" xfId="5" applyFont="1" applyFill="1" applyBorder="1" applyAlignment="1">
      <alignment horizontal="center" vertical="center" wrapText="1"/>
    </xf>
    <xf numFmtId="0" fontId="40" fillId="11" borderId="1" xfId="5" applyFont="1" applyFill="1" applyBorder="1" applyAlignment="1">
      <alignment horizontal="center" vertical="center"/>
    </xf>
    <xf numFmtId="0" fontId="40" fillId="11" borderId="3" xfId="5" applyFont="1" applyFill="1" applyBorder="1" applyAlignment="1">
      <alignment horizontal="center" vertical="center"/>
    </xf>
    <xf numFmtId="0" fontId="40" fillId="11" borderId="19" xfId="5" applyFont="1" applyFill="1" applyBorder="1" applyAlignment="1">
      <alignment horizontal="center" vertical="center"/>
    </xf>
    <xf numFmtId="0" fontId="40" fillId="11" borderId="20" xfId="5" applyFont="1" applyFill="1" applyBorder="1" applyAlignment="1">
      <alignment horizontal="center" vertical="center"/>
    </xf>
  </cellXfs>
  <cellStyles count="7">
    <cellStyle name="ConditionalStyle_2" xfId="3" xr:uid="{8AD18055-84E1-4D64-B845-4A961794AD6F}"/>
    <cellStyle name="Excel Built-in Normal" xfId="2" xr:uid="{D36DC794-EC9F-40DF-B1AF-65DC486B3ED4}"/>
    <cellStyle name="Normal 2" xfId="1" xr:uid="{049F9B24-15D0-484E-899E-CE656F22796A}"/>
    <cellStyle name="Prozent 2" xfId="6" xr:uid="{F877D8B8-A33B-4D29-A75D-8ECA7E43584F}"/>
    <cellStyle name="Standard" xfId="0" builtinId="0"/>
    <cellStyle name="Standard 2" xfId="5" xr:uid="{02421F98-23A3-40D2-A14F-E4EC3A8990BC}"/>
    <cellStyle name="Standard 2 3" xfId="4" xr:uid="{66F50441-5319-44B8-9044-D866B24BAEC4}"/>
  </cellStyles>
  <dxfs count="6">
    <dxf>
      <font>
        <b val="0"/>
        <i val="0"/>
      </font>
      <fill>
        <patternFill patternType="solid">
          <fgColor auto="1"/>
          <bgColor theme="7" tint="0.79998168889431442"/>
        </patternFill>
      </fill>
    </dxf>
    <dxf>
      <font>
        <b val="0"/>
        <i val="0"/>
      </font>
      <fill>
        <patternFill>
          <bgColor theme="9" tint="0.79998168889431442"/>
        </patternFill>
      </fill>
    </dxf>
    <dxf>
      <font>
        <b val="0"/>
        <i val="0"/>
      </font>
      <fill>
        <patternFill>
          <bgColor theme="5" tint="0.79998168889431442"/>
        </patternFill>
      </fill>
    </dxf>
    <dxf>
      <font>
        <b val="0"/>
        <i val="0"/>
      </font>
      <fill>
        <patternFill>
          <bgColor theme="4" tint="0.79998168889431442"/>
        </patternFill>
      </fill>
    </dxf>
    <dxf>
      <font>
        <b val="0"/>
        <i val="0"/>
      </font>
      <fill>
        <patternFill patternType="solid">
          <fgColor auto="1"/>
          <bgColor rgb="FFFFFF99"/>
        </patternFill>
      </fill>
    </dxf>
    <dxf>
      <font>
        <b val="0"/>
        <i val="0"/>
      </font>
      <fill>
        <patternFill>
          <bgColor theme="5" tint="0.79998168889431442"/>
        </patternFill>
      </fill>
    </dxf>
  </dxfs>
  <tableStyles count="0" defaultTableStyle="TableStyleMedium2" defaultPivotStyle="PivotStyleLight16"/>
  <colors>
    <mruColors>
      <color rgb="FFFFFF99"/>
      <color rgb="FF00FF00"/>
      <color rgb="FF00FFFF"/>
      <color rgb="FFFFFFCC"/>
      <color rgb="FF66FF66"/>
      <color rgb="FFC8D74A"/>
      <color rgb="FFFFFF66"/>
      <color rgb="FFFFCC66"/>
      <color rgb="FFEAEAEA"/>
      <color rgb="FFFF8C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none" strike="noStrike" kern="1200" spc="0" baseline="0">
                <a:solidFill>
                  <a:schemeClr val="tx1"/>
                </a:solidFill>
                <a:latin typeface="Arial" panose="020B0604020202020204" pitchFamily="34" charset="0"/>
                <a:ea typeface="+mn-ea"/>
                <a:cs typeface="Arial" panose="020B0604020202020204" pitchFamily="34" charset="0"/>
              </a:defRPr>
            </a:pPr>
            <a:r>
              <a:rPr lang="de-CH" sz="2400" b="1">
                <a:solidFill>
                  <a:schemeClr val="tx1"/>
                </a:solidFill>
                <a:latin typeface="Arial" panose="020B0604020202020204" pitchFamily="34" charset="0"/>
                <a:cs typeface="Arial" panose="020B0604020202020204" pitchFamily="34" charset="0"/>
              </a:rPr>
              <a:t>Grid</a:t>
            </a:r>
            <a:r>
              <a:rPr lang="de-CH" sz="2400" b="1" baseline="0">
                <a:solidFill>
                  <a:schemeClr val="tx1"/>
                </a:solidFill>
                <a:latin typeface="Arial" panose="020B0604020202020204" pitchFamily="34" charset="0"/>
                <a:cs typeface="Arial" panose="020B0604020202020204" pitchFamily="34" charset="0"/>
              </a:rPr>
              <a:t> Operator Area</a:t>
            </a:r>
            <a:endParaRPr lang="de-CH" sz="2400" b="1">
              <a:solidFill>
                <a:schemeClr val="tx1"/>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2400" b="1"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radarChart>
        <c:radarStyle val="marker"/>
        <c:varyColors val="0"/>
        <c:ser>
          <c:idx val="0"/>
          <c:order val="0"/>
          <c:tx>
            <c:strRef>
              <c:f>'Graphics All Area'!$B$9:$B$10</c:f>
              <c:strCache>
                <c:ptCount val="2"/>
                <c:pt idx="0">
                  <c:v>Grid Operator Area</c:v>
                </c:pt>
                <c:pt idx="1">
                  <c:v>Present</c:v>
                </c:pt>
              </c:strCache>
            </c:strRef>
          </c:tx>
          <c:spPr>
            <a:ln w="28575" cap="rnd">
              <a:solidFill>
                <a:schemeClr val="accent1"/>
              </a:solidFill>
              <a:round/>
            </a:ln>
            <a:effectLst/>
          </c:spPr>
          <c:marker>
            <c:symbol val="none"/>
          </c:marker>
          <c:cat>
            <c:strRef>
              <c:extLst>
                <c:ext xmlns:c15="http://schemas.microsoft.com/office/drawing/2012/chart" uri="{02D57815-91ED-43cb-92C2-25804820EDAC}">
                  <c15:fullRef>
                    <c15:sqref>'Graphics All Area'!$A$11:$A$16</c15:sqref>
                  </c15:fullRef>
                </c:ext>
              </c:extLst>
              <c:f>('Graphics All Area'!$A$11:$A$14,'Graphics All Area'!$A$16)</c:f>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Area'!$B$11:$B$16</c15:sqref>
                  </c15:fullRef>
                </c:ext>
              </c:extLst>
              <c:f>('Graphics All Area'!$B$11:$B$14,'Graphics All Area'!$B$16)</c:f>
              <c:numCache>
                <c:formatCode>0.0</c:formatCode>
                <c:ptCount val="5"/>
                <c:pt idx="0">
                  <c:v>2.2702702702702702</c:v>
                </c:pt>
                <c:pt idx="1">
                  <c:v>2.75</c:v>
                </c:pt>
                <c:pt idx="2">
                  <c:v>2.3571428571428572</c:v>
                </c:pt>
                <c:pt idx="3">
                  <c:v>2.1764705882352939</c:v>
                </c:pt>
                <c:pt idx="4">
                  <c:v>2.3884709289121053</c:v>
                </c:pt>
              </c:numCache>
            </c:numRef>
          </c:val>
          <c:extLst>
            <c:ext xmlns:c16="http://schemas.microsoft.com/office/drawing/2014/chart" uri="{C3380CC4-5D6E-409C-BE32-E72D297353CC}">
              <c16:uniqueId val="{00000000-F095-42F2-97C8-9D22086EF2FB}"/>
            </c:ext>
          </c:extLst>
        </c:ser>
        <c:ser>
          <c:idx val="1"/>
          <c:order val="1"/>
          <c:tx>
            <c:strRef>
              <c:f>'Graphics All Area'!$C$9:$C$10</c:f>
              <c:strCache>
                <c:ptCount val="2"/>
                <c:pt idx="0">
                  <c:v>Grid Operator Area</c:v>
                </c:pt>
                <c:pt idx="1">
                  <c:v>Target</c:v>
                </c:pt>
              </c:strCache>
            </c:strRef>
          </c:tx>
          <c:spPr>
            <a:ln w="28575" cap="rnd">
              <a:solidFill>
                <a:schemeClr val="accent2"/>
              </a:solidFill>
              <a:round/>
            </a:ln>
            <a:effectLst/>
          </c:spPr>
          <c:marker>
            <c:symbol val="none"/>
          </c:marker>
          <c:cat>
            <c:strRef>
              <c:extLst>
                <c:ext xmlns:c15="http://schemas.microsoft.com/office/drawing/2012/chart" uri="{02D57815-91ED-43cb-92C2-25804820EDAC}">
                  <c15:fullRef>
                    <c15:sqref>'Graphics All Area'!$A$11:$A$16</c15:sqref>
                  </c15:fullRef>
                </c:ext>
              </c:extLst>
              <c:f>('Graphics All Area'!$A$11:$A$14,'Graphics All Area'!$A$16)</c:f>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Area'!$C$11:$C$16</c15:sqref>
                  </c15:fullRef>
                </c:ext>
              </c:extLst>
              <c:f>('Graphics All Area'!$C$11:$C$14,'Graphics All Area'!$C$16)</c:f>
              <c:numCache>
                <c:formatCode>0.0</c:formatCode>
                <c:ptCount val="5"/>
                <c:pt idx="0">
                  <c:v>3.4054054054054053</c:v>
                </c:pt>
                <c:pt idx="1">
                  <c:v>3.625</c:v>
                </c:pt>
                <c:pt idx="2">
                  <c:v>3.5</c:v>
                </c:pt>
                <c:pt idx="3">
                  <c:v>3.5</c:v>
                </c:pt>
                <c:pt idx="4">
                  <c:v>3.5076013513513513</c:v>
                </c:pt>
              </c:numCache>
            </c:numRef>
          </c:val>
          <c:extLst>
            <c:ext xmlns:c16="http://schemas.microsoft.com/office/drawing/2014/chart" uri="{C3380CC4-5D6E-409C-BE32-E72D297353CC}">
              <c16:uniqueId val="{00000001-F095-42F2-97C8-9D22086EF2FB}"/>
            </c:ext>
          </c:extLst>
        </c:ser>
        <c:dLbls>
          <c:showLegendKey val="0"/>
          <c:showVal val="0"/>
          <c:showCatName val="0"/>
          <c:showSerName val="0"/>
          <c:showPercent val="0"/>
          <c:showBubbleSize val="0"/>
        </c:dLbls>
        <c:axId val="2047691664"/>
        <c:axId val="2030759776"/>
        <c:extLst>
          <c:ext xmlns:c15="http://schemas.microsoft.com/office/drawing/2012/chart" uri="{02D57815-91ED-43cb-92C2-25804820EDAC}">
            <c15:filteredRadarSeries>
              <c15:ser>
                <c:idx val="2"/>
                <c:order val="2"/>
                <c:tx>
                  <c:strRef>
                    <c:extLst>
                      <c:ext uri="{02D57815-91ED-43cb-92C2-25804820EDAC}">
                        <c15:formulaRef>
                          <c15:sqref>'Graphics All Area'!$D$9:$D$10</c15:sqref>
                        </c15:formulaRef>
                      </c:ext>
                    </c:extLst>
                    <c:strCache>
                      <c:ptCount val="2"/>
                      <c:pt idx="0">
                        <c:v>Producer Area</c:v>
                      </c:pt>
                      <c:pt idx="1">
                        <c:v>Present</c:v>
                      </c:pt>
                    </c:strCache>
                  </c:strRef>
                </c:tx>
                <c:spPr>
                  <a:ln w="28575" cap="rnd">
                    <a:solidFill>
                      <a:schemeClr val="accent3"/>
                    </a:solidFill>
                    <a:round/>
                  </a:ln>
                  <a:effectLst/>
                </c:spPr>
                <c:marker>
                  <c:symbol val="none"/>
                </c:marker>
                <c:cat>
                  <c:strRef>
                    <c:extLst>
                      <c:ex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uri="{02D57815-91ED-43cb-92C2-25804820EDAC}">
                        <c15:fullRef>
                          <c15:sqref>'Graphics All Area'!$D$11:$D$16</c15:sqref>
                        </c15:fullRef>
                        <c15:formulaRef>
                          <c15:sqref>('Graphics All Area'!$D$11:$D$14,'Graphics All Area'!$D$16)</c15:sqref>
                        </c15:formulaRef>
                      </c:ext>
                    </c:extLst>
                    <c:numCache>
                      <c:formatCode>0.0</c:formatCode>
                      <c:ptCount val="5"/>
                      <c:pt idx="0">
                        <c:v>2.1621621621621623</c:v>
                      </c:pt>
                      <c:pt idx="1">
                        <c:v>2.125</c:v>
                      </c:pt>
                      <c:pt idx="2">
                        <c:v>2.1428571428571428</c:v>
                      </c:pt>
                      <c:pt idx="3">
                        <c:v>1.9705882352941178</c:v>
                      </c:pt>
                      <c:pt idx="4">
                        <c:v>2.1001518850783558</c:v>
                      </c:pt>
                    </c:numCache>
                  </c:numRef>
                </c:val>
                <c:extLst>
                  <c:ext xmlns:c16="http://schemas.microsoft.com/office/drawing/2014/chart" uri="{C3380CC4-5D6E-409C-BE32-E72D297353CC}">
                    <c16:uniqueId val="{00000006-F095-42F2-97C8-9D22086EF2FB}"/>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'Graphics All Area'!$E$9:$E$10</c15:sqref>
                        </c15:formulaRef>
                      </c:ext>
                    </c:extLst>
                    <c:strCache>
                      <c:ptCount val="2"/>
                      <c:pt idx="0">
                        <c:v>Producer Area</c:v>
                      </c:pt>
                      <c:pt idx="1">
                        <c:v>Target</c:v>
                      </c:pt>
                    </c:strCache>
                  </c:strRef>
                </c:tx>
                <c:spPr>
                  <a:ln w="28575" cap="rnd">
                    <a:solidFill>
                      <a:schemeClr val="accent4"/>
                    </a:solidFill>
                    <a:round/>
                  </a:ln>
                  <a:effectLst/>
                </c:spPr>
                <c:marker>
                  <c:symbol val="none"/>
                </c:marker>
                <c:cat>
                  <c:strRef>
                    <c:extLst>
                      <c:ext xmlns:c15="http://schemas.microsoft.com/office/drawing/2012/char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Area'!$E$11:$E$16</c15:sqref>
                        </c15:fullRef>
                        <c15:formulaRef>
                          <c15:sqref>('Graphics All Area'!$E$11:$E$14,'Graphics All Area'!$E$16)</c15:sqref>
                        </c15:formulaRef>
                      </c:ext>
                    </c:extLst>
                    <c:numCache>
                      <c:formatCode>0.0</c:formatCode>
                      <c:ptCount val="5"/>
                      <c:pt idx="0">
                        <c:v>3.2162162162162162</c:v>
                      </c:pt>
                      <c:pt idx="1">
                        <c:v>3.5</c:v>
                      </c:pt>
                      <c:pt idx="2">
                        <c:v>3.1428571428571428</c:v>
                      </c:pt>
                      <c:pt idx="3">
                        <c:v>3</c:v>
                      </c:pt>
                      <c:pt idx="4">
                        <c:v>3.2147683397683395</c:v>
                      </c:pt>
                    </c:numCache>
                  </c:numRef>
                </c:val>
                <c:extLst xmlns:c15="http://schemas.microsoft.com/office/drawing/2012/chart">
                  <c:ext xmlns:c16="http://schemas.microsoft.com/office/drawing/2014/chart" uri="{C3380CC4-5D6E-409C-BE32-E72D297353CC}">
                    <c16:uniqueId val="{00000007-F095-42F2-97C8-9D22086EF2FB}"/>
                  </c:ext>
                </c:extLst>
              </c15:ser>
            </c15:filteredRadarSeries>
            <c15:filteredRadarSeries>
              <c15:ser>
                <c:idx val="4"/>
                <c:order val="4"/>
                <c:tx>
                  <c:strRef>
                    <c:extLst xmlns:c15="http://schemas.microsoft.com/office/drawing/2012/chart">
                      <c:ext xmlns:c15="http://schemas.microsoft.com/office/drawing/2012/chart" uri="{02D57815-91ED-43cb-92C2-25804820EDAC}">
                        <c15:formulaRef>
                          <c15:sqref>'Graphics All Area'!$F$9:$F$10</c15:sqref>
                        </c15:formulaRef>
                      </c:ext>
                    </c:extLst>
                    <c:strCache>
                      <c:ptCount val="2"/>
                      <c:pt idx="0">
                        <c:v>IT General Area</c:v>
                      </c:pt>
                      <c:pt idx="1">
                        <c:v>Present</c:v>
                      </c:pt>
                    </c:strCache>
                  </c:strRef>
                </c:tx>
                <c:spPr>
                  <a:ln w="28575" cap="rnd">
                    <a:solidFill>
                      <a:schemeClr val="accent5"/>
                    </a:solidFill>
                    <a:round/>
                  </a:ln>
                  <a:effectLst/>
                </c:spPr>
                <c:marker>
                  <c:symbol val="none"/>
                </c:marker>
                <c:cat>
                  <c:strRef>
                    <c:extLst>
                      <c:ext xmlns:c15="http://schemas.microsoft.com/office/drawing/2012/char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Area'!$F$11:$F$16</c15:sqref>
                        </c15:fullRef>
                        <c15:formulaRef>
                          <c15:sqref>('Graphics All Area'!$F$11:$F$14,'Graphics All Area'!$F$16)</c15:sqref>
                        </c15:formulaRef>
                      </c:ext>
                    </c:extLst>
                    <c:numCache>
                      <c:formatCode>0.0</c:formatCode>
                      <c:ptCount val="5"/>
                      <c:pt idx="0">
                        <c:v>2.2162162162162162</c:v>
                      </c:pt>
                      <c:pt idx="1">
                        <c:v>2</c:v>
                      </c:pt>
                      <c:pt idx="2">
                        <c:v>1.9285714285714286</c:v>
                      </c:pt>
                      <c:pt idx="3">
                        <c:v>2.0294117647058822</c:v>
                      </c:pt>
                      <c:pt idx="4">
                        <c:v>2.0435498523733817</c:v>
                      </c:pt>
                    </c:numCache>
                  </c:numRef>
                </c:val>
                <c:extLst xmlns:c15="http://schemas.microsoft.com/office/drawing/2012/chart">
                  <c:ext xmlns:c16="http://schemas.microsoft.com/office/drawing/2014/chart" uri="{C3380CC4-5D6E-409C-BE32-E72D297353CC}">
                    <c16:uniqueId val="{00000008-F095-42F2-97C8-9D22086EF2FB}"/>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'Graphics All Area'!$G$9:$G$10</c15:sqref>
                        </c15:formulaRef>
                      </c:ext>
                    </c:extLst>
                    <c:strCache>
                      <c:ptCount val="2"/>
                      <c:pt idx="0">
                        <c:v>IT General Area</c:v>
                      </c:pt>
                      <c:pt idx="1">
                        <c:v>Target</c:v>
                      </c:pt>
                    </c:strCache>
                  </c:strRef>
                </c:tx>
                <c:spPr>
                  <a:ln w="28575" cap="rnd">
                    <a:solidFill>
                      <a:schemeClr val="accent6"/>
                    </a:solidFill>
                    <a:round/>
                  </a:ln>
                  <a:effectLst/>
                </c:spPr>
                <c:marker>
                  <c:symbol val="none"/>
                </c:marker>
                <c:cat>
                  <c:strRef>
                    <c:extLst>
                      <c:ext xmlns:c15="http://schemas.microsoft.com/office/drawing/2012/char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Area'!$G$11:$G$16</c15:sqref>
                        </c15:fullRef>
                        <c15:formulaRef>
                          <c15:sqref>('Graphics All Area'!$G$11:$G$14,'Graphics All Area'!$G$16)</c15:sqref>
                        </c15:formulaRef>
                      </c:ext>
                    </c:extLst>
                    <c:numCache>
                      <c:formatCode>0.0</c:formatCode>
                      <c:ptCount val="5"/>
                      <c:pt idx="0">
                        <c:v>3.0540540540540539</c:v>
                      </c:pt>
                      <c:pt idx="1">
                        <c:v>3.5</c:v>
                      </c:pt>
                      <c:pt idx="2">
                        <c:v>2.8571428571428572</c:v>
                      </c:pt>
                      <c:pt idx="3">
                        <c:v>2.7647058823529411</c:v>
                      </c:pt>
                      <c:pt idx="4">
                        <c:v>3.0439756983874631</c:v>
                      </c:pt>
                    </c:numCache>
                  </c:numRef>
                </c:val>
                <c:extLst xmlns:c15="http://schemas.microsoft.com/office/drawing/2012/chart">
                  <c:ext xmlns:c16="http://schemas.microsoft.com/office/drawing/2014/chart" uri="{C3380CC4-5D6E-409C-BE32-E72D297353CC}">
                    <c16:uniqueId val="{00000009-F095-42F2-97C8-9D22086EF2FB}"/>
                  </c:ext>
                </c:extLst>
              </c15:ser>
            </c15:filteredRadarSeries>
          </c:ext>
        </c:extLst>
      </c:radarChart>
      <c:catAx>
        <c:axId val="2047691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2030759776"/>
        <c:crosses val="autoZero"/>
        <c:auto val="1"/>
        <c:lblAlgn val="ctr"/>
        <c:lblOffset val="100"/>
        <c:noMultiLvlLbl val="0"/>
      </c:catAx>
      <c:valAx>
        <c:axId val="20307597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47691664"/>
        <c:crosses val="autoZero"/>
        <c:crossBetween val="between"/>
      </c:valAx>
      <c:spPr>
        <a:noFill/>
        <a:ln>
          <a:noFill/>
        </a:ln>
        <a:effectLst/>
      </c:spPr>
    </c:plotArea>
    <c:legend>
      <c:legendPos val="t"/>
      <c:layout>
        <c:manualLayout>
          <c:xMode val="edge"/>
          <c:yMode val="edge"/>
          <c:x val="0.83170570614513328"/>
          <c:y val="0.15790871725340838"/>
          <c:w val="0.16829430931486816"/>
          <c:h val="0.21498939817032486"/>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none" strike="noStrike" kern="1200" spc="0" baseline="0">
                <a:solidFill>
                  <a:schemeClr val="tx1"/>
                </a:solidFill>
                <a:latin typeface="Arial" panose="020B0604020202020204" pitchFamily="34" charset="0"/>
                <a:ea typeface="+mn-ea"/>
                <a:cs typeface="Arial" panose="020B0604020202020204" pitchFamily="34" charset="0"/>
              </a:defRPr>
            </a:pPr>
            <a:r>
              <a:rPr lang="de-CH" sz="2400" b="1" baseline="0">
                <a:solidFill>
                  <a:schemeClr val="tx1"/>
                </a:solidFill>
                <a:latin typeface="Arial" panose="020B0604020202020204" pitchFamily="34" charset="0"/>
                <a:cs typeface="Arial" panose="020B0604020202020204" pitchFamily="34" charset="0"/>
              </a:rPr>
              <a:t>Producer Area</a:t>
            </a:r>
            <a:endParaRPr lang="de-CH" sz="2400" b="1">
              <a:solidFill>
                <a:schemeClr val="tx1"/>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2400" b="1"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radarChart>
        <c:radarStyle val="marker"/>
        <c:varyColors val="0"/>
        <c:ser>
          <c:idx val="2"/>
          <c:order val="2"/>
          <c:tx>
            <c:strRef>
              <c:f>'Graphics All Area'!$D$9:$D$10</c:f>
              <c:strCache>
                <c:ptCount val="2"/>
                <c:pt idx="0">
                  <c:v>Producer Area</c:v>
                </c:pt>
                <c:pt idx="1">
                  <c:v>Present</c:v>
                </c:pt>
              </c:strCache>
              <c:extLst xmlns:c15="http://schemas.microsoft.com/office/drawing/2012/chart"/>
            </c:strRef>
          </c:tx>
          <c:spPr>
            <a:ln w="28575" cap="rnd">
              <a:solidFill>
                <a:schemeClr val="accent3"/>
              </a:solidFill>
              <a:round/>
            </a:ln>
            <a:effectLst/>
          </c:spPr>
          <c:marker>
            <c:symbol val="none"/>
          </c:marker>
          <c:cat>
            <c:strRef>
              <c:extLst>
                <c:ext xmlns:c15="http://schemas.microsoft.com/office/drawing/2012/chart" uri="{02D57815-91ED-43cb-92C2-25804820EDAC}">
                  <c15:fullRef>
                    <c15:sqref>'Graphics All Area'!$A$11:$A$16</c15:sqref>
                  </c15:fullRef>
                </c:ext>
              </c:extLst>
              <c:f>('Graphics All Area'!$A$11:$A$14,'Graphics All Area'!$A$16)</c:f>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Area'!$D$11:$D$16</c15:sqref>
                  </c15:fullRef>
                </c:ext>
              </c:extLst>
              <c:f>('Graphics All Area'!$D$11:$D$14,'Graphics All Area'!$D$16)</c:f>
              <c:numCache>
                <c:formatCode>0.0</c:formatCode>
                <c:ptCount val="5"/>
                <c:pt idx="0">
                  <c:v>2.1621621621621623</c:v>
                </c:pt>
                <c:pt idx="1">
                  <c:v>2.125</c:v>
                </c:pt>
                <c:pt idx="2">
                  <c:v>2.1428571428571428</c:v>
                </c:pt>
                <c:pt idx="3">
                  <c:v>1.9705882352941178</c:v>
                </c:pt>
                <c:pt idx="4">
                  <c:v>2.1001518850783558</c:v>
                </c:pt>
              </c:numCache>
            </c:numRef>
          </c:val>
          <c:extLst xmlns:c15="http://schemas.microsoft.com/office/drawing/2012/chart">
            <c:ext xmlns:c16="http://schemas.microsoft.com/office/drawing/2014/chart" uri="{C3380CC4-5D6E-409C-BE32-E72D297353CC}">
              <c16:uniqueId val="{00000006-F095-42F2-97C8-9D22086EF2FB}"/>
            </c:ext>
          </c:extLst>
        </c:ser>
        <c:ser>
          <c:idx val="3"/>
          <c:order val="3"/>
          <c:tx>
            <c:strRef>
              <c:f>'Graphics All Area'!$E$9:$E$10</c:f>
              <c:strCache>
                <c:ptCount val="2"/>
                <c:pt idx="0">
                  <c:v>Producer Area</c:v>
                </c:pt>
                <c:pt idx="1">
                  <c:v>Target</c:v>
                </c:pt>
              </c:strCache>
              <c:extLst xmlns:c15="http://schemas.microsoft.com/office/drawing/2012/chart"/>
            </c:strRef>
          </c:tx>
          <c:spPr>
            <a:ln w="28575" cap="rnd">
              <a:solidFill>
                <a:schemeClr val="accent4"/>
              </a:solidFill>
              <a:round/>
            </a:ln>
            <a:effectLst/>
          </c:spPr>
          <c:marker>
            <c:symbol val="none"/>
          </c:marker>
          <c:cat>
            <c:strRef>
              <c:extLst>
                <c:ext xmlns:c15="http://schemas.microsoft.com/office/drawing/2012/chart" uri="{02D57815-91ED-43cb-92C2-25804820EDAC}">
                  <c15:fullRef>
                    <c15:sqref>'Graphics All Area'!$A$11:$A$16</c15:sqref>
                  </c15:fullRef>
                </c:ext>
              </c:extLst>
              <c:f>('Graphics All Area'!$A$11:$A$14,'Graphics All Area'!$A$16)</c:f>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Area'!$E$11:$E$16</c15:sqref>
                  </c15:fullRef>
                </c:ext>
              </c:extLst>
              <c:f>('Graphics All Area'!$E$11:$E$14,'Graphics All Area'!$E$16)</c:f>
              <c:numCache>
                <c:formatCode>0.0</c:formatCode>
                <c:ptCount val="5"/>
                <c:pt idx="0">
                  <c:v>3.2162162162162162</c:v>
                </c:pt>
                <c:pt idx="1">
                  <c:v>3.5</c:v>
                </c:pt>
                <c:pt idx="2">
                  <c:v>3.1428571428571428</c:v>
                </c:pt>
                <c:pt idx="3">
                  <c:v>3</c:v>
                </c:pt>
                <c:pt idx="4">
                  <c:v>3.2147683397683395</c:v>
                </c:pt>
              </c:numCache>
            </c:numRef>
          </c:val>
          <c:extLst xmlns:c15="http://schemas.microsoft.com/office/drawing/2012/chart">
            <c:ext xmlns:c16="http://schemas.microsoft.com/office/drawing/2014/chart" uri="{C3380CC4-5D6E-409C-BE32-E72D297353CC}">
              <c16:uniqueId val="{00000007-F095-42F2-97C8-9D22086EF2FB}"/>
            </c:ext>
          </c:extLst>
        </c:ser>
        <c:dLbls>
          <c:showLegendKey val="0"/>
          <c:showVal val="0"/>
          <c:showCatName val="0"/>
          <c:showSerName val="0"/>
          <c:showPercent val="0"/>
          <c:showBubbleSize val="0"/>
        </c:dLbls>
        <c:axId val="2047691664"/>
        <c:axId val="2030759776"/>
        <c:extLst>
          <c:ext xmlns:c15="http://schemas.microsoft.com/office/drawing/2012/chart" uri="{02D57815-91ED-43cb-92C2-25804820EDAC}">
            <c15:filteredRadarSeries>
              <c15:ser>
                <c:idx val="0"/>
                <c:order val="0"/>
                <c:tx>
                  <c:strRef>
                    <c:extLst>
                      <c:ext uri="{02D57815-91ED-43cb-92C2-25804820EDAC}">
                        <c15:formulaRef>
                          <c15:sqref>'Graphics All Area'!$B$9:$B$10</c15:sqref>
                        </c15:formulaRef>
                      </c:ext>
                    </c:extLst>
                    <c:strCache>
                      <c:ptCount val="2"/>
                      <c:pt idx="0">
                        <c:v>Grid Operator Area</c:v>
                      </c:pt>
                      <c:pt idx="1">
                        <c:v>Present</c:v>
                      </c:pt>
                    </c:strCache>
                  </c:strRef>
                </c:tx>
                <c:spPr>
                  <a:ln w="28575" cap="rnd">
                    <a:solidFill>
                      <a:schemeClr val="accent1"/>
                    </a:solidFill>
                    <a:round/>
                  </a:ln>
                  <a:effectLst/>
                </c:spPr>
                <c:marker>
                  <c:symbol val="none"/>
                </c:marker>
                <c:cat>
                  <c:strRef>
                    <c:extLst>
                      <c:ex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uri="{02D57815-91ED-43cb-92C2-25804820EDAC}">
                        <c15:fullRef>
                          <c15:sqref>'Graphics All Area'!$B$11:$B$16</c15:sqref>
                        </c15:fullRef>
                        <c15:formulaRef>
                          <c15:sqref>('Graphics All Area'!$B$11:$B$14,'Graphics All Area'!$B$16)</c15:sqref>
                        </c15:formulaRef>
                      </c:ext>
                    </c:extLst>
                    <c:numCache>
                      <c:formatCode>0.0</c:formatCode>
                      <c:ptCount val="5"/>
                      <c:pt idx="0">
                        <c:v>2.2702702702702702</c:v>
                      </c:pt>
                      <c:pt idx="1">
                        <c:v>2.75</c:v>
                      </c:pt>
                      <c:pt idx="2">
                        <c:v>2.3571428571428572</c:v>
                      </c:pt>
                      <c:pt idx="3">
                        <c:v>2.1764705882352939</c:v>
                      </c:pt>
                      <c:pt idx="4">
                        <c:v>2.3884709289121053</c:v>
                      </c:pt>
                    </c:numCache>
                  </c:numRef>
                </c:val>
                <c:extLst>
                  <c:ext xmlns:c16="http://schemas.microsoft.com/office/drawing/2014/chart" uri="{C3380CC4-5D6E-409C-BE32-E72D297353CC}">
                    <c16:uniqueId val="{00000000-F095-42F2-97C8-9D22086EF2FB}"/>
                  </c:ext>
                </c:extLst>
              </c15:ser>
            </c15:filteredRadarSeries>
            <c15:filteredRadarSeries>
              <c15:ser>
                <c:idx val="1"/>
                <c:order val="1"/>
                <c:tx>
                  <c:strRef>
                    <c:extLst xmlns:c15="http://schemas.microsoft.com/office/drawing/2012/chart">
                      <c:ext xmlns:c15="http://schemas.microsoft.com/office/drawing/2012/chart" uri="{02D57815-91ED-43cb-92C2-25804820EDAC}">
                        <c15:formulaRef>
                          <c15:sqref>'Graphics All Area'!$C$9:$C$10</c15:sqref>
                        </c15:formulaRef>
                      </c:ext>
                    </c:extLst>
                    <c:strCache>
                      <c:ptCount val="2"/>
                      <c:pt idx="0">
                        <c:v>Grid Operator Area</c:v>
                      </c:pt>
                      <c:pt idx="1">
                        <c:v>Target</c:v>
                      </c:pt>
                    </c:strCache>
                  </c:strRef>
                </c:tx>
                <c:spPr>
                  <a:ln w="28575" cap="rnd">
                    <a:solidFill>
                      <a:schemeClr val="accent2"/>
                    </a:solidFill>
                    <a:round/>
                  </a:ln>
                  <a:effectLst/>
                </c:spPr>
                <c:marker>
                  <c:symbol val="none"/>
                </c:marker>
                <c:cat>
                  <c:strRef>
                    <c:extLst>
                      <c:ext xmlns:c15="http://schemas.microsoft.com/office/drawing/2012/char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Area'!$C$11:$C$16</c15:sqref>
                        </c15:fullRef>
                        <c15:formulaRef>
                          <c15:sqref>('Graphics All Area'!$C$11:$C$14,'Graphics All Area'!$C$16)</c15:sqref>
                        </c15:formulaRef>
                      </c:ext>
                    </c:extLst>
                    <c:numCache>
                      <c:formatCode>0.0</c:formatCode>
                      <c:ptCount val="5"/>
                      <c:pt idx="0">
                        <c:v>3.4054054054054053</c:v>
                      </c:pt>
                      <c:pt idx="1">
                        <c:v>3.625</c:v>
                      </c:pt>
                      <c:pt idx="2">
                        <c:v>3.5</c:v>
                      </c:pt>
                      <c:pt idx="3">
                        <c:v>3.5</c:v>
                      </c:pt>
                      <c:pt idx="4">
                        <c:v>3.5076013513513513</c:v>
                      </c:pt>
                    </c:numCache>
                  </c:numRef>
                </c:val>
                <c:extLst xmlns:c15="http://schemas.microsoft.com/office/drawing/2012/chart">
                  <c:ext xmlns:c16="http://schemas.microsoft.com/office/drawing/2014/chart" uri="{C3380CC4-5D6E-409C-BE32-E72D297353CC}">
                    <c16:uniqueId val="{00000001-F095-42F2-97C8-9D22086EF2FB}"/>
                  </c:ext>
                </c:extLst>
              </c15:ser>
            </c15:filteredRadarSeries>
            <c15:filteredRadarSeries>
              <c15:ser>
                <c:idx val="4"/>
                <c:order val="4"/>
                <c:tx>
                  <c:strRef>
                    <c:extLst xmlns:c15="http://schemas.microsoft.com/office/drawing/2012/chart">
                      <c:ext xmlns:c15="http://schemas.microsoft.com/office/drawing/2012/chart" uri="{02D57815-91ED-43cb-92C2-25804820EDAC}">
                        <c15:formulaRef>
                          <c15:sqref>'Graphics All Area'!$F$9:$F$10</c15:sqref>
                        </c15:formulaRef>
                      </c:ext>
                    </c:extLst>
                    <c:strCache>
                      <c:ptCount val="2"/>
                      <c:pt idx="0">
                        <c:v>IT General Area</c:v>
                      </c:pt>
                      <c:pt idx="1">
                        <c:v>Present</c:v>
                      </c:pt>
                    </c:strCache>
                  </c:strRef>
                </c:tx>
                <c:spPr>
                  <a:ln w="28575" cap="rnd">
                    <a:solidFill>
                      <a:schemeClr val="accent5"/>
                    </a:solidFill>
                    <a:round/>
                  </a:ln>
                  <a:effectLst/>
                </c:spPr>
                <c:marker>
                  <c:symbol val="none"/>
                </c:marker>
                <c:cat>
                  <c:strRef>
                    <c:extLst>
                      <c:ext xmlns:c15="http://schemas.microsoft.com/office/drawing/2012/char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Area'!$F$11:$F$16</c15:sqref>
                        </c15:fullRef>
                        <c15:formulaRef>
                          <c15:sqref>('Graphics All Area'!$F$11:$F$14,'Graphics All Area'!$F$16)</c15:sqref>
                        </c15:formulaRef>
                      </c:ext>
                    </c:extLst>
                    <c:numCache>
                      <c:formatCode>0.0</c:formatCode>
                      <c:ptCount val="5"/>
                      <c:pt idx="0">
                        <c:v>2.2162162162162162</c:v>
                      </c:pt>
                      <c:pt idx="1">
                        <c:v>2</c:v>
                      </c:pt>
                      <c:pt idx="2">
                        <c:v>1.9285714285714286</c:v>
                      </c:pt>
                      <c:pt idx="3">
                        <c:v>2.0294117647058822</c:v>
                      </c:pt>
                      <c:pt idx="4">
                        <c:v>2.0435498523733817</c:v>
                      </c:pt>
                    </c:numCache>
                  </c:numRef>
                </c:val>
                <c:extLst xmlns:c15="http://schemas.microsoft.com/office/drawing/2012/chart">
                  <c:ext xmlns:c16="http://schemas.microsoft.com/office/drawing/2014/chart" uri="{C3380CC4-5D6E-409C-BE32-E72D297353CC}">
                    <c16:uniqueId val="{00000008-F095-42F2-97C8-9D22086EF2FB}"/>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'Graphics All Area'!$G$9:$G$10</c15:sqref>
                        </c15:formulaRef>
                      </c:ext>
                    </c:extLst>
                    <c:strCache>
                      <c:ptCount val="2"/>
                      <c:pt idx="0">
                        <c:v>IT General Area</c:v>
                      </c:pt>
                      <c:pt idx="1">
                        <c:v>Target</c:v>
                      </c:pt>
                    </c:strCache>
                  </c:strRef>
                </c:tx>
                <c:spPr>
                  <a:ln w="28575" cap="rnd">
                    <a:solidFill>
                      <a:schemeClr val="accent6"/>
                    </a:solidFill>
                    <a:round/>
                  </a:ln>
                  <a:effectLst/>
                </c:spPr>
                <c:marker>
                  <c:symbol val="none"/>
                </c:marker>
                <c:cat>
                  <c:strRef>
                    <c:extLst>
                      <c:ext xmlns:c15="http://schemas.microsoft.com/office/drawing/2012/char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Area'!$G$11:$G$16</c15:sqref>
                        </c15:fullRef>
                        <c15:formulaRef>
                          <c15:sqref>('Graphics All Area'!$G$11:$G$14,'Graphics All Area'!$G$16)</c15:sqref>
                        </c15:formulaRef>
                      </c:ext>
                    </c:extLst>
                    <c:numCache>
                      <c:formatCode>0.0</c:formatCode>
                      <c:ptCount val="5"/>
                      <c:pt idx="0">
                        <c:v>3.0540540540540539</c:v>
                      </c:pt>
                      <c:pt idx="1">
                        <c:v>3.5</c:v>
                      </c:pt>
                      <c:pt idx="2">
                        <c:v>2.8571428571428572</c:v>
                      </c:pt>
                      <c:pt idx="3">
                        <c:v>2.7647058823529411</c:v>
                      </c:pt>
                      <c:pt idx="4">
                        <c:v>3.0439756983874631</c:v>
                      </c:pt>
                    </c:numCache>
                  </c:numRef>
                </c:val>
                <c:extLst xmlns:c15="http://schemas.microsoft.com/office/drawing/2012/chart">
                  <c:ext xmlns:c16="http://schemas.microsoft.com/office/drawing/2014/chart" uri="{C3380CC4-5D6E-409C-BE32-E72D297353CC}">
                    <c16:uniqueId val="{00000009-F095-42F2-97C8-9D22086EF2FB}"/>
                  </c:ext>
                </c:extLst>
              </c15:ser>
            </c15:filteredRadarSeries>
          </c:ext>
        </c:extLst>
      </c:radarChart>
      <c:catAx>
        <c:axId val="2047691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2030759776"/>
        <c:crosses val="autoZero"/>
        <c:auto val="1"/>
        <c:lblAlgn val="ctr"/>
        <c:lblOffset val="100"/>
        <c:noMultiLvlLbl val="0"/>
      </c:catAx>
      <c:valAx>
        <c:axId val="20307597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47691664"/>
        <c:crosses val="autoZero"/>
        <c:crossBetween val="between"/>
      </c:valAx>
      <c:spPr>
        <a:noFill/>
        <a:ln>
          <a:noFill/>
        </a:ln>
        <a:effectLst/>
      </c:spPr>
    </c:plotArea>
    <c:legend>
      <c:legendPos val="t"/>
      <c:layout>
        <c:manualLayout>
          <c:xMode val="edge"/>
          <c:yMode val="edge"/>
          <c:x val="0.83170570614513328"/>
          <c:y val="0.15790871725340838"/>
          <c:w val="0.16829430931486816"/>
          <c:h val="0.21498939817032486"/>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none" strike="noStrike" kern="1200" spc="0" baseline="0">
                <a:solidFill>
                  <a:schemeClr val="tx1"/>
                </a:solidFill>
                <a:latin typeface="Arial" panose="020B0604020202020204" pitchFamily="34" charset="0"/>
                <a:ea typeface="+mn-ea"/>
                <a:cs typeface="Arial" panose="020B0604020202020204" pitchFamily="34" charset="0"/>
              </a:defRPr>
            </a:pPr>
            <a:r>
              <a:rPr lang="de-CH" sz="2400" b="1" baseline="0">
                <a:solidFill>
                  <a:schemeClr val="tx1"/>
                </a:solidFill>
                <a:latin typeface="Arial" panose="020B0604020202020204" pitchFamily="34" charset="0"/>
                <a:cs typeface="Arial" panose="020B0604020202020204" pitchFamily="34" charset="0"/>
              </a:rPr>
              <a:t>IT General Area</a:t>
            </a:r>
            <a:endParaRPr lang="de-CH" sz="2400" b="1">
              <a:solidFill>
                <a:schemeClr val="tx1"/>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2400" b="1"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radarChart>
        <c:radarStyle val="marker"/>
        <c:varyColors val="0"/>
        <c:ser>
          <c:idx val="4"/>
          <c:order val="4"/>
          <c:tx>
            <c:strRef>
              <c:f>'Graphics All Area'!$F$9:$F$10</c:f>
              <c:strCache>
                <c:ptCount val="2"/>
                <c:pt idx="0">
                  <c:v>IT General Area</c:v>
                </c:pt>
                <c:pt idx="1">
                  <c:v>Present</c:v>
                </c:pt>
              </c:strCache>
            </c:strRef>
          </c:tx>
          <c:spPr>
            <a:ln w="28575" cap="rnd">
              <a:solidFill>
                <a:schemeClr val="accent5"/>
              </a:solidFill>
              <a:round/>
            </a:ln>
            <a:effectLst/>
          </c:spPr>
          <c:marker>
            <c:symbol val="none"/>
          </c:marker>
          <c:cat>
            <c:strRef>
              <c:extLst>
                <c:ext xmlns:c15="http://schemas.microsoft.com/office/drawing/2012/chart" uri="{02D57815-91ED-43cb-92C2-25804820EDAC}">
                  <c15:fullRef>
                    <c15:sqref>'Graphics All Area'!$A$11:$A$16</c15:sqref>
                  </c15:fullRef>
                </c:ext>
              </c:extLst>
              <c:f>('Graphics All Area'!$A$11:$A$14,'Graphics All Area'!$A$16)</c:f>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Area'!$F$11:$F$16</c15:sqref>
                  </c15:fullRef>
                </c:ext>
              </c:extLst>
              <c:f>('Graphics All Area'!$F$11:$F$14,'Graphics All Area'!$F$16)</c:f>
              <c:numCache>
                <c:formatCode>0.0</c:formatCode>
                <c:ptCount val="5"/>
                <c:pt idx="0">
                  <c:v>2.2162162162162162</c:v>
                </c:pt>
                <c:pt idx="1">
                  <c:v>2</c:v>
                </c:pt>
                <c:pt idx="2">
                  <c:v>1.9285714285714286</c:v>
                </c:pt>
                <c:pt idx="3">
                  <c:v>2.0294117647058822</c:v>
                </c:pt>
                <c:pt idx="4">
                  <c:v>2.0435498523733817</c:v>
                </c:pt>
              </c:numCache>
            </c:numRef>
          </c:val>
          <c:extLst xmlns:c15="http://schemas.microsoft.com/office/drawing/2012/chart">
            <c:ext xmlns:c16="http://schemas.microsoft.com/office/drawing/2014/chart" uri="{C3380CC4-5D6E-409C-BE32-E72D297353CC}">
              <c16:uniqueId val="{00000008-F095-42F2-97C8-9D22086EF2FB}"/>
            </c:ext>
          </c:extLst>
        </c:ser>
        <c:ser>
          <c:idx val="5"/>
          <c:order val="5"/>
          <c:tx>
            <c:strRef>
              <c:f>'Graphics All Area'!$G$9:$G$10</c:f>
              <c:strCache>
                <c:ptCount val="2"/>
                <c:pt idx="0">
                  <c:v>IT General Area</c:v>
                </c:pt>
                <c:pt idx="1">
                  <c:v>Target</c:v>
                </c:pt>
              </c:strCache>
            </c:strRef>
          </c:tx>
          <c:spPr>
            <a:ln w="28575" cap="rnd">
              <a:solidFill>
                <a:schemeClr val="accent6"/>
              </a:solidFill>
              <a:round/>
            </a:ln>
            <a:effectLst/>
          </c:spPr>
          <c:marker>
            <c:symbol val="none"/>
          </c:marker>
          <c:cat>
            <c:strRef>
              <c:extLst>
                <c:ext xmlns:c15="http://schemas.microsoft.com/office/drawing/2012/chart" uri="{02D57815-91ED-43cb-92C2-25804820EDAC}">
                  <c15:fullRef>
                    <c15:sqref>'Graphics All Area'!$A$11:$A$16</c15:sqref>
                  </c15:fullRef>
                </c:ext>
              </c:extLst>
              <c:f>('Graphics All Area'!$A$11:$A$14,'Graphics All Area'!$A$16)</c:f>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Area'!$G$11:$G$16</c15:sqref>
                  </c15:fullRef>
                </c:ext>
              </c:extLst>
              <c:f>('Graphics All Area'!$G$11:$G$14,'Graphics All Area'!$G$16)</c:f>
              <c:numCache>
                <c:formatCode>0.0</c:formatCode>
                <c:ptCount val="5"/>
                <c:pt idx="0">
                  <c:v>3.0540540540540539</c:v>
                </c:pt>
                <c:pt idx="1">
                  <c:v>3.5</c:v>
                </c:pt>
                <c:pt idx="2">
                  <c:v>2.8571428571428572</c:v>
                </c:pt>
                <c:pt idx="3">
                  <c:v>2.7647058823529411</c:v>
                </c:pt>
                <c:pt idx="4">
                  <c:v>3.0439756983874631</c:v>
                </c:pt>
              </c:numCache>
            </c:numRef>
          </c:val>
          <c:extLst xmlns:c15="http://schemas.microsoft.com/office/drawing/2012/chart">
            <c:ext xmlns:c16="http://schemas.microsoft.com/office/drawing/2014/chart" uri="{C3380CC4-5D6E-409C-BE32-E72D297353CC}">
              <c16:uniqueId val="{00000009-F095-42F2-97C8-9D22086EF2FB}"/>
            </c:ext>
          </c:extLst>
        </c:ser>
        <c:dLbls>
          <c:showLegendKey val="0"/>
          <c:showVal val="0"/>
          <c:showCatName val="0"/>
          <c:showSerName val="0"/>
          <c:showPercent val="0"/>
          <c:showBubbleSize val="0"/>
        </c:dLbls>
        <c:axId val="2047691664"/>
        <c:axId val="2030759776"/>
        <c:extLst>
          <c:ext xmlns:c15="http://schemas.microsoft.com/office/drawing/2012/chart" uri="{02D57815-91ED-43cb-92C2-25804820EDAC}">
            <c15:filteredRadarSeries>
              <c15:ser>
                <c:idx val="0"/>
                <c:order val="0"/>
                <c:tx>
                  <c:strRef>
                    <c:extLst>
                      <c:ext uri="{02D57815-91ED-43cb-92C2-25804820EDAC}">
                        <c15:formulaRef>
                          <c15:sqref>'Graphics All Area'!$B$9:$B$10</c15:sqref>
                        </c15:formulaRef>
                      </c:ext>
                    </c:extLst>
                    <c:strCache>
                      <c:ptCount val="2"/>
                      <c:pt idx="0">
                        <c:v>Grid Operator Area</c:v>
                      </c:pt>
                      <c:pt idx="1">
                        <c:v>Present</c:v>
                      </c:pt>
                    </c:strCache>
                  </c:strRef>
                </c:tx>
                <c:spPr>
                  <a:ln w="28575" cap="rnd">
                    <a:solidFill>
                      <a:schemeClr val="accent1"/>
                    </a:solidFill>
                    <a:round/>
                  </a:ln>
                  <a:effectLst/>
                </c:spPr>
                <c:marker>
                  <c:symbol val="none"/>
                </c:marker>
                <c:cat>
                  <c:strRef>
                    <c:extLst>
                      <c:ex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uri="{02D57815-91ED-43cb-92C2-25804820EDAC}">
                        <c15:fullRef>
                          <c15:sqref>'Graphics All Area'!$B$11:$B$16</c15:sqref>
                        </c15:fullRef>
                        <c15:formulaRef>
                          <c15:sqref>('Graphics All Area'!$B$11:$B$14,'Graphics All Area'!$B$16)</c15:sqref>
                        </c15:formulaRef>
                      </c:ext>
                    </c:extLst>
                    <c:numCache>
                      <c:formatCode>0.0</c:formatCode>
                      <c:ptCount val="5"/>
                      <c:pt idx="0">
                        <c:v>2.2702702702702702</c:v>
                      </c:pt>
                      <c:pt idx="1">
                        <c:v>2.75</c:v>
                      </c:pt>
                      <c:pt idx="2">
                        <c:v>2.3571428571428572</c:v>
                      </c:pt>
                      <c:pt idx="3">
                        <c:v>2.1764705882352939</c:v>
                      </c:pt>
                      <c:pt idx="4">
                        <c:v>2.3884709289121053</c:v>
                      </c:pt>
                    </c:numCache>
                  </c:numRef>
                </c:val>
                <c:extLst>
                  <c:ext xmlns:c16="http://schemas.microsoft.com/office/drawing/2014/chart" uri="{C3380CC4-5D6E-409C-BE32-E72D297353CC}">
                    <c16:uniqueId val="{00000000-F095-42F2-97C8-9D22086EF2FB}"/>
                  </c:ext>
                </c:extLst>
              </c15:ser>
            </c15:filteredRadarSeries>
            <c15:filteredRadarSeries>
              <c15:ser>
                <c:idx val="1"/>
                <c:order val="1"/>
                <c:tx>
                  <c:strRef>
                    <c:extLst xmlns:c15="http://schemas.microsoft.com/office/drawing/2012/chart">
                      <c:ext xmlns:c15="http://schemas.microsoft.com/office/drawing/2012/chart" uri="{02D57815-91ED-43cb-92C2-25804820EDAC}">
                        <c15:formulaRef>
                          <c15:sqref>'Graphics All Area'!$C$9:$C$10</c15:sqref>
                        </c15:formulaRef>
                      </c:ext>
                    </c:extLst>
                    <c:strCache>
                      <c:ptCount val="2"/>
                      <c:pt idx="0">
                        <c:v>Grid Operator Area</c:v>
                      </c:pt>
                      <c:pt idx="1">
                        <c:v>Target</c:v>
                      </c:pt>
                    </c:strCache>
                  </c:strRef>
                </c:tx>
                <c:spPr>
                  <a:ln w="28575" cap="rnd">
                    <a:solidFill>
                      <a:schemeClr val="accent2"/>
                    </a:solidFill>
                    <a:round/>
                  </a:ln>
                  <a:effectLst/>
                </c:spPr>
                <c:marker>
                  <c:symbol val="none"/>
                </c:marker>
                <c:cat>
                  <c:strRef>
                    <c:extLst>
                      <c:ext xmlns:c15="http://schemas.microsoft.com/office/drawing/2012/char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Area'!$C$11:$C$16</c15:sqref>
                        </c15:fullRef>
                        <c15:formulaRef>
                          <c15:sqref>('Graphics All Area'!$C$11:$C$14,'Graphics All Area'!$C$16)</c15:sqref>
                        </c15:formulaRef>
                      </c:ext>
                    </c:extLst>
                    <c:numCache>
                      <c:formatCode>0.0</c:formatCode>
                      <c:ptCount val="5"/>
                      <c:pt idx="0">
                        <c:v>3.4054054054054053</c:v>
                      </c:pt>
                      <c:pt idx="1">
                        <c:v>3.625</c:v>
                      </c:pt>
                      <c:pt idx="2">
                        <c:v>3.5</c:v>
                      </c:pt>
                      <c:pt idx="3">
                        <c:v>3.5</c:v>
                      </c:pt>
                      <c:pt idx="4">
                        <c:v>3.5076013513513513</c:v>
                      </c:pt>
                    </c:numCache>
                  </c:numRef>
                </c:val>
                <c:extLst xmlns:c15="http://schemas.microsoft.com/office/drawing/2012/chart">
                  <c:ext xmlns:c16="http://schemas.microsoft.com/office/drawing/2014/chart" uri="{C3380CC4-5D6E-409C-BE32-E72D297353CC}">
                    <c16:uniqueId val="{00000001-F095-42F2-97C8-9D22086EF2FB}"/>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'Graphics All Area'!$D$9:$D$10</c15:sqref>
                        </c15:formulaRef>
                      </c:ext>
                    </c:extLst>
                    <c:strCache>
                      <c:ptCount val="2"/>
                      <c:pt idx="0">
                        <c:v>Producer Area</c:v>
                      </c:pt>
                      <c:pt idx="1">
                        <c:v>Present</c:v>
                      </c:pt>
                    </c:strCache>
                  </c:strRef>
                </c:tx>
                <c:spPr>
                  <a:ln w="28575" cap="rnd">
                    <a:solidFill>
                      <a:schemeClr val="accent3"/>
                    </a:solidFill>
                    <a:round/>
                  </a:ln>
                  <a:effectLst/>
                </c:spPr>
                <c:marker>
                  <c:symbol val="none"/>
                </c:marker>
                <c:cat>
                  <c:strRef>
                    <c:extLst>
                      <c:ext xmlns:c15="http://schemas.microsoft.com/office/drawing/2012/char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Area'!$D$11:$D$16</c15:sqref>
                        </c15:fullRef>
                        <c15:formulaRef>
                          <c15:sqref>('Graphics All Area'!$D$11:$D$14,'Graphics All Area'!$D$16)</c15:sqref>
                        </c15:formulaRef>
                      </c:ext>
                    </c:extLst>
                    <c:numCache>
                      <c:formatCode>0.0</c:formatCode>
                      <c:ptCount val="5"/>
                      <c:pt idx="0">
                        <c:v>2.1621621621621623</c:v>
                      </c:pt>
                      <c:pt idx="1">
                        <c:v>2.125</c:v>
                      </c:pt>
                      <c:pt idx="2">
                        <c:v>2.1428571428571428</c:v>
                      </c:pt>
                      <c:pt idx="3">
                        <c:v>1.9705882352941178</c:v>
                      </c:pt>
                      <c:pt idx="4">
                        <c:v>2.1001518850783558</c:v>
                      </c:pt>
                    </c:numCache>
                  </c:numRef>
                </c:val>
                <c:extLst xmlns:c15="http://schemas.microsoft.com/office/drawing/2012/chart">
                  <c:ext xmlns:c16="http://schemas.microsoft.com/office/drawing/2014/chart" uri="{C3380CC4-5D6E-409C-BE32-E72D297353CC}">
                    <c16:uniqueId val="{00000006-F095-42F2-97C8-9D22086EF2FB}"/>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'Graphics All Area'!$E$9:$E$10</c15:sqref>
                        </c15:formulaRef>
                      </c:ext>
                    </c:extLst>
                    <c:strCache>
                      <c:ptCount val="2"/>
                      <c:pt idx="0">
                        <c:v>Producer Area</c:v>
                      </c:pt>
                      <c:pt idx="1">
                        <c:v>Target</c:v>
                      </c:pt>
                    </c:strCache>
                  </c:strRef>
                </c:tx>
                <c:spPr>
                  <a:ln w="28575" cap="rnd">
                    <a:solidFill>
                      <a:schemeClr val="accent4"/>
                    </a:solidFill>
                    <a:round/>
                  </a:ln>
                  <a:effectLst/>
                </c:spPr>
                <c:marker>
                  <c:symbol val="none"/>
                </c:marker>
                <c:cat>
                  <c:strRef>
                    <c:extLst>
                      <c:ext xmlns:c15="http://schemas.microsoft.com/office/drawing/2012/chart" uri="{02D57815-91ED-43cb-92C2-25804820EDAC}">
                        <c15:fullRef>
                          <c15:sqref>'Graphics All Area'!$A$11:$A$16</c15:sqref>
                        </c15:fullRef>
                        <c15:formulaRef>
                          <c15:sqref>('Graphics All Area'!$A$11:$A$14,'Graphics All Area'!$A$16)</c15:sqref>
                        </c15:formulaRef>
                      </c:ext>
                    </c:extLst>
                    <c:strCache>
                      <c:ptCount val="5"/>
                      <c:pt idx="0">
                        <c:v>5 Organisatorische Controls</c:v>
                      </c:pt>
                      <c:pt idx="1">
                        <c:v>6 Personelle Controls</c:v>
                      </c:pt>
                      <c:pt idx="2">
                        <c:v>7 Physische Controls</c:v>
                      </c:pt>
                      <c:pt idx="3">
                        <c:v>8 Technologische Controls</c:v>
                      </c:pt>
                      <c:pt idx="4">
                        <c:v>Overall Assessment ISO 27001:2022 Annex A Seting</c:v>
                      </c:pt>
                    </c:strCache>
                  </c:strRef>
                </c:cat>
                <c:val>
                  <c:numRef>
                    <c:extLst>
                      <c:ext xmlns:c15="http://schemas.microsoft.com/office/drawing/2012/chart" uri="{02D57815-91ED-43cb-92C2-25804820EDAC}">
                        <c15:fullRef>
                          <c15:sqref>'Graphics All Area'!$E$11:$E$16</c15:sqref>
                        </c15:fullRef>
                        <c15:formulaRef>
                          <c15:sqref>('Graphics All Area'!$E$11:$E$14,'Graphics All Area'!$E$16)</c15:sqref>
                        </c15:formulaRef>
                      </c:ext>
                    </c:extLst>
                    <c:numCache>
                      <c:formatCode>0.0</c:formatCode>
                      <c:ptCount val="5"/>
                      <c:pt idx="0">
                        <c:v>3.2162162162162162</c:v>
                      </c:pt>
                      <c:pt idx="1">
                        <c:v>3.5</c:v>
                      </c:pt>
                      <c:pt idx="2">
                        <c:v>3.1428571428571428</c:v>
                      </c:pt>
                      <c:pt idx="3">
                        <c:v>3</c:v>
                      </c:pt>
                      <c:pt idx="4">
                        <c:v>3.2147683397683395</c:v>
                      </c:pt>
                    </c:numCache>
                  </c:numRef>
                </c:val>
                <c:extLst xmlns:c15="http://schemas.microsoft.com/office/drawing/2012/chart">
                  <c:ext xmlns:c16="http://schemas.microsoft.com/office/drawing/2014/chart" uri="{C3380CC4-5D6E-409C-BE32-E72D297353CC}">
                    <c16:uniqueId val="{00000007-F095-42F2-97C8-9D22086EF2FB}"/>
                  </c:ext>
                </c:extLst>
              </c15:ser>
            </c15:filteredRadarSeries>
          </c:ext>
        </c:extLst>
      </c:radarChart>
      <c:catAx>
        <c:axId val="2047691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2030759776"/>
        <c:crosses val="autoZero"/>
        <c:auto val="1"/>
        <c:lblAlgn val="ctr"/>
        <c:lblOffset val="100"/>
        <c:noMultiLvlLbl val="0"/>
      </c:catAx>
      <c:valAx>
        <c:axId val="20307597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47691664"/>
        <c:crosses val="autoZero"/>
        <c:crossBetween val="between"/>
      </c:valAx>
      <c:spPr>
        <a:noFill/>
        <a:ln>
          <a:noFill/>
        </a:ln>
        <a:effectLst/>
      </c:spPr>
    </c:plotArea>
    <c:legend>
      <c:legendPos val="t"/>
      <c:layout>
        <c:manualLayout>
          <c:xMode val="edge"/>
          <c:yMode val="edge"/>
          <c:x val="0.83170570614513328"/>
          <c:y val="0.15790871725340838"/>
          <c:w val="0.16829430931486816"/>
          <c:h val="0.21498939817032486"/>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140816</xdr:colOff>
      <xdr:row>17</xdr:row>
      <xdr:rowOff>35825</xdr:rowOff>
    </xdr:from>
    <xdr:to>
      <xdr:col>3</xdr:col>
      <xdr:colOff>190500</xdr:colOff>
      <xdr:row>48</xdr:row>
      <xdr:rowOff>23813</xdr:rowOff>
    </xdr:to>
    <xdr:graphicFrame macro="">
      <xdr:nvGraphicFramePr>
        <xdr:cNvPr id="9" name="Diagramm 8">
          <a:extLst>
            <a:ext uri="{FF2B5EF4-FFF2-40B4-BE49-F238E27FC236}">
              <a16:creationId xmlns:a16="http://schemas.microsoft.com/office/drawing/2014/main" id="{625A18C7-C56B-DB1C-668E-C697464BF4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453780</xdr:colOff>
      <xdr:row>17</xdr:row>
      <xdr:rowOff>35825</xdr:rowOff>
    </xdr:from>
    <xdr:to>
      <xdr:col>6</xdr:col>
      <xdr:colOff>2041071</xdr:colOff>
      <xdr:row>48</xdr:row>
      <xdr:rowOff>23813</xdr:rowOff>
    </xdr:to>
    <xdr:graphicFrame macro="">
      <xdr:nvGraphicFramePr>
        <xdr:cNvPr id="14" name="Diagramm 13">
          <a:extLst>
            <a:ext uri="{FF2B5EF4-FFF2-40B4-BE49-F238E27FC236}">
              <a16:creationId xmlns:a16="http://schemas.microsoft.com/office/drawing/2014/main" id="{6E6A9184-1169-F9BB-0ACF-675E80291D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127209</xdr:colOff>
      <xdr:row>17</xdr:row>
      <xdr:rowOff>35825</xdr:rowOff>
    </xdr:from>
    <xdr:to>
      <xdr:col>16</xdr:col>
      <xdr:colOff>462643</xdr:colOff>
      <xdr:row>48</xdr:row>
      <xdr:rowOff>23813</xdr:rowOff>
    </xdr:to>
    <xdr:graphicFrame macro="">
      <xdr:nvGraphicFramePr>
        <xdr:cNvPr id="15" name="Diagramm 14">
          <a:extLst>
            <a:ext uri="{FF2B5EF4-FFF2-40B4-BE49-F238E27FC236}">
              <a16:creationId xmlns:a16="http://schemas.microsoft.com/office/drawing/2014/main" id="{E92CB01E-06EC-92D2-AC28-25E470F456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a/AppData/Local/Microsoft/Windows/INetCache/Content.Outlook/FV7D5D6J/Kopie%20von%20VO_ISMS_GAP%20Analyse%20SN%20ISO%20IEC%2027001%202015%20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inleitung"/>
      <sheetName val="52 Ziele nach ISO27001"/>
      <sheetName val="Auswertung ISO 27001-Stand Ums."/>
      <sheetName val="Auswertung ISO 27001"/>
      <sheetName val="114 Massnahmen nach Anhang A"/>
      <sheetName val="Auswertung Anhang A-Stand Ums."/>
      <sheetName val="Auswertung Anhang A"/>
      <sheetName val="Änderungen Vorlage"/>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A1:AF78"/>
  <sheetViews>
    <sheetView tabSelected="1" zoomScale="70" zoomScaleNormal="70" workbookViewId="0">
      <selection activeCell="A2" sqref="A2:G4"/>
    </sheetView>
  </sheetViews>
  <sheetFormatPr baseColWidth="10" defaultColWidth="11.42578125" defaultRowHeight="15" customHeight="1" x14ac:dyDescent="0.25"/>
  <cols>
    <col min="1" max="1" width="20.28515625" style="114" customWidth="1"/>
    <col min="2" max="2" width="24.28515625" style="114" customWidth="1"/>
    <col min="3" max="3" width="27.140625" style="114" customWidth="1"/>
    <col min="4" max="4" width="27.5703125" style="114" customWidth="1"/>
    <col min="5" max="5" width="23.5703125" style="114" customWidth="1"/>
    <col min="6" max="6" width="29.5703125" style="114" customWidth="1"/>
    <col min="7" max="7" width="24.42578125" style="114" customWidth="1"/>
    <col min="8" max="9" width="11.42578125" style="114"/>
    <col min="10" max="32" width="11.42578125" style="119"/>
    <col min="33" max="16384" width="11.42578125" style="114"/>
  </cols>
  <sheetData>
    <row r="1" spans="1:32" ht="5.0999999999999996" customHeight="1" x14ac:dyDescent="0.2">
      <c r="A1" s="349"/>
      <c r="B1" s="350"/>
      <c r="C1" s="350"/>
      <c r="D1" s="350"/>
      <c r="E1" s="350"/>
      <c r="F1" s="350"/>
      <c r="G1" s="351"/>
      <c r="H1" s="119"/>
      <c r="I1" s="119"/>
    </row>
    <row r="2" spans="1:32" ht="15" customHeight="1" x14ac:dyDescent="0.25">
      <c r="A2" s="352" t="s">
        <v>650</v>
      </c>
      <c r="B2" s="353"/>
      <c r="C2" s="353"/>
      <c r="D2" s="353"/>
      <c r="E2" s="353"/>
      <c r="F2" s="353"/>
      <c r="G2" s="354"/>
      <c r="H2" s="119"/>
      <c r="I2" s="119"/>
    </row>
    <row r="3" spans="1:32" ht="15" customHeight="1" x14ac:dyDescent="0.25">
      <c r="A3" s="352"/>
      <c r="B3" s="353"/>
      <c r="C3" s="353"/>
      <c r="D3" s="353"/>
      <c r="E3" s="353"/>
      <c r="F3" s="353"/>
      <c r="G3" s="354"/>
      <c r="H3" s="119"/>
      <c r="I3" s="119"/>
    </row>
    <row r="4" spans="1:32" ht="15" customHeight="1" x14ac:dyDescent="0.25">
      <c r="A4" s="352"/>
      <c r="B4" s="353"/>
      <c r="C4" s="353"/>
      <c r="D4" s="353"/>
      <c r="E4" s="353"/>
      <c r="F4" s="353"/>
      <c r="G4" s="354"/>
      <c r="H4" s="119"/>
      <c r="I4" s="119"/>
    </row>
    <row r="5" spans="1:32" ht="15" customHeight="1" x14ac:dyDescent="0.25">
      <c r="A5" s="355" t="s">
        <v>651</v>
      </c>
      <c r="B5" s="356"/>
      <c r="C5" s="356"/>
      <c r="D5" s="356"/>
      <c r="E5" s="356"/>
      <c r="F5" s="356"/>
      <c r="G5" s="357"/>
      <c r="H5" s="119"/>
      <c r="I5" s="119"/>
    </row>
    <row r="6" spans="1:32" ht="5.0999999999999996" customHeight="1" thickBot="1" x14ac:dyDescent="0.25">
      <c r="A6" s="121"/>
      <c r="B6" s="29"/>
      <c r="C6" s="30"/>
      <c r="D6" s="30"/>
      <c r="E6" s="31"/>
      <c r="F6" s="31"/>
      <c r="G6" s="122"/>
      <c r="H6" s="119"/>
      <c r="I6" s="119"/>
    </row>
    <row r="7" spans="1:32" ht="44.1" customHeight="1" x14ac:dyDescent="0.25">
      <c r="A7" s="325" t="s">
        <v>586</v>
      </c>
      <c r="B7" s="326"/>
      <c r="C7" s="326"/>
      <c r="D7" s="326"/>
      <c r="E7" s="326"/>
      <c r="F7" s="326"/>
      <c r="G7" s="327"/>
      <c r="H7" s="119"/>
      <c r="I7" s="119"/>
    </row>
    <row r="8" spans="1:32" s="117" customFormat="1" ht="54" customHeight="1" x14ac:dyDescent="0.25">
      <c r="A8" s="136" t="s">
        <v>584</v>
      </c>
      <c r="B8" s="328" t="s">
        <v>563</v>
      </c>
      <c r="C8" s="328"/>
      <c r="D8" s="328"/>
      <c r="E8" s="328"/>
      <c r="F8" s="328"/>
      <c r="G8" s="329"/>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row>
    <row r="9" spans="1:32" s="117" customFormat="1" ht="54" customHeight="1" x14ac:dyDescent="0.25">
      <c r="A9" s="136" t="s">
        <v>585</v>
      </c>
      <c r="B9" s="330" t="s">
        <v>564</v>
      </c>
      <c r="C9" s="330"/>
      <c r="D9" s="330"/>
      <c r="E9" s="330"/>
      <c r="F9" s="330"/>
      <c r="G9" s="331"/>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row>
    <row r="10" spans="1:32" ht="15.75" thickBot="1" x14ac:dyDescent="0.25">
      <c r="A10" s="123"/>
      <c r="B10" s="115"/>
      <c r="C10" s="116"/>
      <c r="D10" s="116"/>
      <c r="E10" s="27"/>
      <c r="F10" s="27"/>
      <c r="G10" s="124"/>
      <c r="H10" s="119"/>
      <c r="I10" s="119"/>
    </row>
    <row r="11" spans="1:32" ht="44.1" customHeight="1" x14ac:dyDescent="0.25">
      <c r="A11" s="325" t="s">
        <v>587</v>
      </c>
      <c r="B11" s="326"/>
      <c r="C11" s="326"/>
      <c r="D11" s="326"/>
      <c r="E11" s="326"/>
      <c r="F11" s="326"/>
      <c r="G11" s="327"/>
      <c r="H11" s="119"/>
      <c r="I11" s="119"/>
    </row>
    <row r="12" spans="1:32" ht="30" customHeight="1" x14ac:dyDescent="0.25">
      <c r="A12" s="338" t="s">
        <v>588</v>
      </c>
      <c r="B12" s="320"/>
      <c r="C12" s="32" t="s">
        <v>589</v>
      </c>
      <c r="D12" s="332" t="s">
        <v>590</v>
      </c>
      <c r="E12" s="333"/>
      <c r="F12" s="32" t="s">
        <v>591</v>
      </c>
      <c r="G12" s="125" t="s">
        <v>592</v>
      </c>
      <c r="H12" s="119"/>
      <c r="I12" s="119"/>
    </row>
    <row r="13" spans="1:32" ht="54" customHeight="1" x14ac:dyDescent="0.25">
      <c r="A13" s="339" t="s">
        <v>580</v>
      </c>
      <c r="B13" s="340"/>
      <c r="C13" s="216" t="s">
        <v>562</v>
      </c>
      <c r="D13" s="334" t="s">
        <v>565</v>
      </c>
      <c r="E13" s="334"/>
      <c r="F13" s="217" t="s">
        <v>566</v>
      </c>
      <c r="G13" s="218" t="s">
        <v>567</v>
      </c>
      <c r="H13" s="119"/>
      <c r="I13" s="119"/>
    </row>
    <row r="14" spans="1:32" ht="54" customHeight="1" x14ac:dyDescent="0.25">
      <c r="A14" s="339" t="s">
        <v>581</v>
      </c>
      <c r="B14" s="340"/>
      <c r="C14" s="219"/>
      <c r="D14" s="335"/>
      <c r="E14" s="335"/>
      <c r="F14" s="220"/>
      <c r="G14" s="221"/>
      <c r="H14" s="119"/>
      <c r="I14" s="119"/>
    </row>
    <row r="15" spans="1:32" ht="54" customHeight="1" x14ac:dyDescent="0.25">
      <c r="A15" s="339" t="s">
        <v>582</v>
      </c>
      <c r="B15" s="340"/>
      <c r="C15" s="219"/>
      <c r="D15" s="335"/>
      <c r="E15" s="335"/>
      <c r="F15" s="220"/>
      <c r="G15" s="221"/>
      <c r="H15" s="119"/>
      <c r="I15" s="119"/>
    </row>
    <row r="16" spans="1:32" s="135" customFormat="1" ht="54" customHeight="1" thickBot="1" x14ac:dyDescent="0.3">
      <c r="A16" s="341" t="s">
        <v>583</v>
      </c>
      <c r="B16" s="342"/>
      <c r="C16" s="222"/>
      <c r="D16" s="336"/>
      <c r="E16" s="336"/>
      <c r="F16" s="223"/>
      <c r="G16" s="22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row>
    <row r="17" spans="1:32" ht="21.95" customHeight="1" x14ac:dyDescent="0.25">
      <c r="A17" s="343" t="s">
        <v>593</v>
      </c>
      <c r="B17" s="344"/>
      <c r="C17" s="344"/>
      <c r="D17" s="344"/>
      <c r="E17" s="344"/>
      <c r="F17" s="344"/>
      <c r="G17" s="345"/>
      <c r="H17" s="119"/>
      <c r="I17" s="119"/>
    </row>
    <row r="18" spans="1:32" s="117" customFormat="1" ht="54" customHeight="1" x14ac:dyDescent="0.25">
      <c r="A18" s="136" t="s">
        <v>594</v>
      </c>
      <c r="B18" s="337" t="s">
        <v>568</v>
      </c>
      <c r="C18" s="337"/>
      <c r="D18" s="137" t="s">
        <v>596</v>
      </c>
      <c r="E18" s="225">
        <v>45254</v>
      </c>
      <c r="F18" s="137" t="s">
        <v>598</v>
      </c>
      <c r="G18" s="227" t="s">
        <v>570</v>
      </c>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20"/>
    </row>
    <row r="19" spans="1:32" s="117" customFormat="1" ht="54" customHeight="1" x14ac:dyDescent="0.25">
      <c r="A19" s="136" t="s">
        <v>595</v>
      </c>
      <c r="B19" s="346" t="s">
        <v>569</v>
      </c>
      <c r="C19" s="346"/>
      <c r="D19" s="137" t="s">
        <v>597</v>
      </c>
      <c r="E19" s="226">
        <v>45620</v>
      </c>
      <c r="F19" s="137" t="s">
        <v>599</v>
      </c>
      <c r="G19" s="228">
        <v>45254</v>
      </c>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row>
    <row r="20" spans="1:32" s="117" customFormat="1" ht="54" customHeight="1" thickBot="1" x14ac:dyDescent="0.3">
      <c r="A20" s="347" t="s">
        <v>600</v>
      </c>
      <c r="B20" s="348"/>
      <c r="C20" s="323" t="s">
        <v>575</v>
      </c>
      <c r="D20" s="323"/>
      <c r="E20" s="323"/>
      <c r="F20" s="323"/>
      <c r="G20" s="324"/>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row>
    <row r="21" spans="1:32" s="133" customFormat="1" ht="21.95" customHeight="1" x14ac:dyDescent="0.25">
      <c r="A21" s="325" t="s">
        <v>561</v>
      </c>
      <c r="B21" s="326"/>
      <c r="C21" s="326"/>
      <c r="D21" s="326"/>
      <c r="E21" s="326"/>
      <c r="F21" s="326"/>
      <c r="G21" s="327"/>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row>
    <row r="22" spans="1:32" ht="30" x14ac:dyDescent="0.25">
      <c r="A22" s="126" t="s">
        <v>601</v>
      </c>
      <c r="B22" s="32" t="s">
        <v>602</v>
      </c>
      <c r="C22" s="32" t="s">
        <v>589</v>
      </c>
      <c r="D22" s="118" t="s">
        <v>603</v>
      </c>
      <c r="E22" s="319" t="s">
        <v>604</v>
      </c>
      <c r="F22" s="320"/>
      <c r="G22" s="125" t="s">
        <v>605</v>
      </c>
      <c r="H22" s="119"/>
      <c r="I22" s="119"/>
    </row>
    <row r="23" spans="1:32" s="117" customFormat="1" ht="21.95" customHeight="1" x14ac:dyDescent="0.25">
      <c r="A23" s="229" t="s">
        <v>571</v>
      </c>
      <c r="B23" s="230">
        <v>45254</v>
      </c>
      <c r="C23" s="231" t="s">
        <v>572</v>
      </c>
      <c r="D23" s="231" t="s">
        <v>574</v>
      </c>
      <c r="E23" s="321" t="s">
        <v>576</v>
      </c>
      <c r="F23" s="321"/>
      <c r="G23" s="232" t="s">
        <v>573</v>
      </c>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row>
    <row r="24" spans="1:32" s="117" customFormat="1" ht="21.95" customHeight="1" x14ac:dyDescent="0.25">
      <c r="A24" s="233"/>
      <c r="B24" s="234"/>
      <c r="C24" s="235"/>
      <c r="D24" s="235"/>
      <c r="E24" s="322"/>
      <c r="F24" s="322"/>
      <c r="G24" s="236"/>
      <c r="H24" s="120"/>
      <c r="I24" s="120"/>
      <c r="J24" s="120"/>
      <c r="K24" s="120"/>
      <c r="L24" s="120"/>
      <c r="M24" s="120"/>
      <c r="N24" s="120"/>
      <c r="O24" s="120"/>
      <c r="P24" s="120"/>
      <c r="Q24" s="120"/>
      <c r="R24" s="120"/>
      <c r="S24" s="120"/>
      <c r="T24" s="120"/>
      <c r="U24" s="120"/>
      <c r="V24" s="120"/>
      <c r="W24" s="120"/>
      <c r="X24" s="120"/>
      <c r="Y24" s="120"/>
      <c r="Z24" s="120"/>
      <c r="AA24" s="120"/>
      <c r="AB24" s="120"/>
      <c r="AC24" s="120"/>
      <c r="AD24" s="120"/>
      <c r="AE24" s="120"/>
      <c r="AF24" s="120"/>
    </row>
    <row r="25" spans="1:32" s="117" customFormat="1" ht="21.95" customHeight="1" x14ac:dyDescent="0.25">
      <c r="A25" s="233"/>
      <c r="B25" s="234"/>
      <c r="C25" s="235"/>
      <c r="D25" s="235"/>
      <c r="E25" s="322"/>
      <c r="F25" s="322"/>
      <c r="G25" s="236"/>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row>
    <row r="26" spans="1:32" s="117" customFormat="1" ht="21.95" customHeight="1" x14ac:dyDescent="0.25">
      <c r="A26" s="233"/>
      <c r="B26" s="234"/>
      <c r="C26" s="235"/>
      <c r="D26" s="235"/>
      <c r="E26" s="322"/>
      <c r="F26" s="322"/>
      <c r="G26" s="236"/>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row>
    <row r="27" spans="1:32" s="117" customFormat="1" ht="21.95" customHeight="1" x14ac:dyDescent="0.25">
      <c r="A27" s="233"/>
      <c r="B27" s="234"/>
      <c r="C27" s="235"/>
      <c r="D27" s="235"/>
      <c r="E27" s="322"/>
      <c r="F27" s="322"/>
      <c r="G27" s="236"/>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row>
    <row r="28" spans="1:32" s="117" customFormat="1" ht="21.95" customHeight="1" x14ac:dyDescent="0.25">
      <c r="A28" s="233"/>
      <c r="B28" s="234"/>
      <c r="C28" s="235"/>
      <c r="D28" s="235"/>
      <c r="E28" s="322"/>
      <c r="F28" s="322"/>
      <c r="G28" s="236"/>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row>
    <row r="29" spans="1:32" s="117" customFormat="1" ht="21.95" customHeight="1" x14ac:dyDescent="0.25">
      <c r="A29" s="233"/>
      <c r="B29" s="234"/>
      <c r="C29" s="235"/>
      <c r="D29" s="235"/>
      <c r="E29" s="322"/>
      <c r="F29" s="322"/>
      <c r="G29" s="236"/>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row>
    <row r="30" spans="1:32" s="117" customFormat="1" ht="21.95" customHeight="1" x14ac:dyDescent="0.25">
      <c r="A30" s="233"/>
      <c r="B30" s="234"/>
      <c r="C30" s="235"/>
      <c r="D30" s="235"/>
      <c r="E30" s="322"/>
      <c r="F30" s="322"/>
      <c r="G30" s="236"/>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row>
    <row r="31" spans="1:32" s="117" customFormat="1" ht="21.95" customHeight="1" x14ac:dyDescent="0.25">
      <c r="A31" s="233"/>
      <c r="B31" s="234"/>
      <c r="C31" s="235"/>
      <c r="D31" s="235"/>
      <c r="E31" s="322"/>
      <c r="F31" s="322"/>
      <c r="G31" s="236"/>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row>
    <row r="32" spans="1:32" s="117" customFormat="1" ht="21.95" customHeight="1" x14ac:dyDescent="0.25">
      <c r="A32" s="233"/>
      <c r="B32" s="234"/>
      <c r="C32" s="235"/>
      <c r="D32" s="235"/>
      <c r="E32" s="322"/>
      <c r="F32" s="322"/>
      <c r="G32" s="236"/>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row>
    <row r="33" spans="1:32" s="117" customFormat="1" ht="21.95" customHeight="1" x14ac:dyDescent="0.25">
      <c r="A33" s="233"/>
      <c r="B33" s="234"/>
      <c r="C33" s="235"/>
      <c r="D33" s="235"/>
      <c r="E33" s="322"/>
      <c r="F33" s="322"/>
      <c r="G33" s="236"/>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row>
    <row r="34" spans="1:32" s="117" customFormat="1" ht="21.95" customHeight="1" x14ac:dyDescent="0.25">
      <c r="A34" s="233"/>
      <c r="B34" s="234"/>
      <c r="C34" s="235"/>
      <c r="D34" s="235"/>
      <c r="E34" s="322"/>
      <c r="F34" s="322"/>
      <c r="G34" s="236"/>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row>
    <row r="35" spans="1:32" s="117" customFormat="1" ht="21.95" customHeight="1" x14ac:dyDescent="0.25">
      <c r="A35" s="233"/>
      <c r="B35" s="234"/>
      <c r="C35" s="235"/>
      <c r="D35" s="235"/>
      <c r="E35" s="322"/>
      <c r="F35" s="322"/>
      <c r="G35" s="236"/>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row>
    <row r="36" spans="1:32" s="117" customFormat="1" ht="21.95" customHeight="1" x14ac:dyDescent="0.25">
      <c r="A36" s="233"/>
      <c r="B36" s="234"/>
      <c r="C36" s="235"/>
      <c r="D36" s="235"/>
      <c r="E36" s="322"/>
      <c r="F36" s="322"/>
      <c r="G36" s="236"/>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row>
    <row r="37" spans="1:32" s="117" customFormat="1" ht="21.95" customHeight="1" x14ac:dyDescent="0.25">
      <c r="A37" s="233"/>
      <c r="B37" s="234"/>
      <c r="C37" s="235"/>
      <c r="D37" s="235"/>
      <c r="E37" s="322"/>
      <c r="F37" s="322"/>
      <c r="G37" s="236"/>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row>
    <row r="38" spans="1:32" s="117" customFormat="1" ht="21.95" customHeight="1" x14ac:dyDescent="0.25">
      <c r="A38" s="233"/>
      <c r="B38" s="234"/>
      <c r="C38" s="235"/>
      <c r="D38" s="235"/>
      <c r="E38" s="322"/>
      <c r="F38" s="322"/>
      <c r="G38" s="236"/>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row>
    <row r="39" spans="1:32" s="117" customFormat="1" ht="21.95" customHeight="1" x14ac:dyDescent="0.25">
      <c r="A39" s="237"/>
      <c r="B39" s="238"/>
      <c r="C39" s="239"/>
      <c r="D39" s="239"/>
      <c r="E39" s="318"/>
      <c r="F39" s="318"/>
      <c r="G39" s="24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row>
    <row r="40" spans="1:32" ht="15" customHeight="1" x14ac:dyDescent="0.25">
      <c r="A40" s="127"/>
      <c r="B40" s="119"/>
      <c r="C40" s="119"/>
      <c r="D40" s="119"/>
      <c r="E40" s="119"/>
      <c r="F40" s="119"/>
      <c r="G40" s="128"/>
      <c r="H40" s="119"/>
      <c r="I40" s="119"/>
    </row>
    <row r="41" spans="1:32" ht="15" customHeight="1" thickBot="1" x14ac:dyDescent="0.3">
      <c r="A41" s="129"/>
      <c r="B41" s="130"/>
      <c r="C41" s="130"/>
      <c r="D41" s="130"/>
      <c r="E41" s="130"/>
      <c r="F41" s="130"/>
      <c r="G41" s="131"/>
      <c r="H41" s="119"/>
      <c r="I41" s="119"/>
    </row>
    <row r="42" spans="1:32" ht="15" customHeight="1" x14ac:dyDescent="0.25">
      <c r="A42" s="119"/>
      <c r="B42" s="119"/>
      <c r="C42" s="119"/>
      <c r="D42" s="119"/>
      <c r="E42" s="119"/>
      <c r="F42" s="119"/>
      <c r="G42" s="119"/>
      <c r="H42" s="119"/>
      <c r="I42" s="119"/>
    </row>
    <row r="43" spans="1:32" ht="15" customHeight="1" x14ac:dyDescent="0.25">
      <c r="A43" s="119"/>
      <c r="B43" s="119"/>
      <c r="C43" s="119"/>
      <c r="D43" s="119"/>
      <c r="E43" s="119"/>
      <c r="F43" s="119"/>
      <c r="G43" s="119"/>
      <c r="H43" s="119"/>
      <c r="I43" s="119"/>
    </row>
    <row r="44" spans="1:32" ht="15" customHeight="1" x14ac:dyDescent="0.25">
      <c r="A44" s="119"/>
      <c r="B44" s="119"/>
      <c r="C44" s="119"/>
      <c r="D44" s="119"/>
      <c r="E44" s="119"/>
      <c r="F44" s="119"/>
      <c r="G44" s="119"/>
      <c r="H44" s="119"/>
      <c r="I44" s="119"/>
    </row>
    <row r="45" spans="1:32" ht="15" customHeight="1" x14ac:dyDescent="0.25">
      <c r="A45" s="119"/>
      <c r="B45" s="119"/>
      <c r="C45" s="119"/>
      <c r="D45" s="119"/>
      <c r="E45" s="119"/>
      <c r="F45" s="119"/>
      <c r="G45" s="119"/>
      <c r="H45" s="119"/>
      <c r="I45" s="119"/>
    </row>
    <row r="46" spans="1:32" ht="15" customHeight="1" x14ac:dyDescent="0.25">
      <c r="A46" s="119"/>
      <c r="B46" s="119"/>
      <c r="C46" s="119"/>
      <c r="D46" s="119"/>
      <c r="E46" s="119"/>
      <c r="F46" s="119"/>
      <c r="G46" s="119"/>
      <c r="H46" s="119"/>
      <c r="I46" s="119"/>
    </row>
    <row r="47" spans="1:32" ht="15" customHeight="1" x14ac:dyDescent="0.25">
      <c r="A47" s="119"/>
      <c r="B47" s="119"/>
      <c r="C47" s="119"/>
      <c r="D47" s="119"/>
      <c r="E47" s="119"/>
      <c r="F47" s="119"/>
      <c r="G47" s="119"/>
      <c r="H47" s="119"/>
      <c r="I47" s="119"/>
    </row>
    <row r="48" spans="1:32" ht="15" customHeight="1" x14ac:dyDescent="0.25">
      <c r="A48" s="119"/>
      <c r="B48" s="119"/>
      <c r="C48" s="119"/>
      <c r="D48" s="119"/>
      <c r="E48" s="119"/>
      <c r="F48" s="119"/>
      <c r="G48" s="119"/>
      <c r="H48" s="119"/>
      <c r="I48" s="119"/>
    </row>
    <row r="49" spans="1:9" ht="15" customHeight="1" x14ac:dyDescent="0.25">
      <c r="A49" s="119"/>
      <c r="B49" s="119"/>
      <c r="C49" s="119"/>
      <c r="D49" s="119"/>
      <c r="E49" s="119"/>
      <c r="F49" s="119"/>
      <c r="G49" s="119"/>
      <c r="H49" s="119"/>
      <c r="I49" s="119"/>
    </row>
    <row r="50" spans="1:9" ht="15" customHeight="1" x14ac:dyDescent="0.25">
      <c r="A50" s="119"/>
      <c r="B50" s="119"/>
      <c r="C50" s="119"/>
      <c r="D50" s="119"/>
      <c r="E50" s="119"/>
      <c r="F50" s="119"/>
      <c r="G50" s="119"/>
      <c r="H50" s="119"/>
      <c r="I50" s="119"/>
    </row>
    <row r="51" spans="1:9" ht="15" customHeight="1" x14ac:dyDescent="0.25">
      <c r="A51" s="119"/>
      <c r="B51" s="119"/>
      <c r="C51" s="119"/>
      <c r="D51" s="119"/>
      <c r="E51" s="119"/>
      <c r="F51" s="119"/>
      <c r="G51" s="119"/>
      <c r="H51" s="119"/>
      <c r="I51" s="119"/>
    </row>
    <row r="52" spans="1:9" ht="15" customHeight="1" x14ac:dyDescent="0.25">
      <c r="A52" s="119"/>
      <c r="B52" s="119"/>
      <c r="C52" s="119"/>
      <c r="D52" s="119"/>
      <c r="E52" s="119"/>
      <c r="F52" s="119"/>
      <c r="G52" s="119"/>
      <c r="H52" s="119"/>
      <c r="I52" s="119"/>
    </row>
    <row r="53" spans="1:9" ht="15" customHeight="1" x14ac:dyDescent="0.25">
      <c r="A53" s="119"/>
      <c r="B53" s="119"/>
      <c r="C53" s="119"/>
      <c r="D53" s="119"/>
      <c r="E53" s="119"/>
      <c r="F53" s="119"/>
      <c r="G53" s="119"/>
      <c r="H53" s="119"/>
      <c r="I53" s="119"/>
    </row>
    <row r="54" spans="1:9" ht="15" customHeight="1" x14ac:dyDescent="0.25">
      <c r="A54" s="119"/>
      <c r="B54" s="119"/>
      <c r="C54" s="119"/>
      <c r="D54" s="119"/>
      <c r="E54" s="119"/>
      <c r="F54" s="119"/>
      <c r="G54" s="119"/>
      <c r="H54" s="119"/>
      <c r="I54" s="119"/>
    </row>
    <row r="55" spans="1:9" ht="15" customHeight="1" x14ac:dyDescent="0.25">
      <c r="A55" s="119"/>
      <c r="B55" s="119"/>
      <c r="C55" s="119"/>
      <c r="D55" s="119"/>
      <c r="E55" s="119"/>
      <c r="F55" s="119"/>
      <c r="G55" s="119"/>
      <c r="H55" s="119"/>
      <c r="I55" s="119"/>
    </row>
    <row r="56" spans="1:9" ht="15" customHeight="1" x14ac:dyDescent="0.25">
      <c r="A56" s="119"/>
      <c r="B56" s="119"/>
      <c r="C56" s="119"/>
      <c r="D56" s="119"/>
      <c r="E56" s="119"/>
      <c r="F56" s="119"/>
      <c r="G56" s="119"/>
      <c r="H56" s="119"/>
      <c r="I56" s="119"/>
    </row>
    <row r="57" spans="1:9" ht="15" customHeight="1" x14ac:dyDescent="0.25">
      <c r="A57" s="119"/>
      <c r="B57" s="119"/>
      <c r="C57" s="119"/>
      <c r="D57" s="119"/>
      <c r="E57" s="119"/>
      <c r="F57" s="119"/>
      <c r="G57" s="119"/>
      <c r="H57" s="119"/>
      <c r="I57" s="119"/>
    </row>
    <row r="58" spans="1:9" ht="15" customHeight="1" x14ac:dyDescent="0.25">
      <c r="A58" s="119"/>
      <c r="B58" s="119"/>
      <c r="C58" s="119"/>
      <c r="D58" s="119"/>
      <c r="E58" s="119"/>
      <c r="F58" s="119"/>
      <c r="G58" s="119"/>
      <c r="H58" s="119"/>
      <c r="I58" s="119"/>
    </row>
    <row r="59" spans="1:9" ht="15" customHeight="1" x14ac:dyDescent="0.25">
      <c r="A59" s="119"/>
      <c r="B59" s="119"/>
      <c r="C59" s="119"/>
      <c r="D59" s="119"/>
      <c r="E59" s="119"/>
      <c r="F59" s="119"/>
      <c r="G59" s="119"/>
      <c r="H59" s="119"/>
      <c r="I59" s="119"/>
    </row>
    <row r="60" spans="1:9" ht="15" customHeight="1" x14ac:dyDescent="0.25">
      <c r="A60" s="119"/>
      <c r="B60" s="119"/>
      <c r="C60" s="119"/>
      <c r="D60" s="119"/>
      <c r="E60" s="119"/>
      <c r="F60" s="119"/>
      <c r="G60" s="119"/>
      <c r="H60" s="119"/>
      <c r="I60" s="119"/>
    </row>
    <row r="61" spans="1:9" ht="15" customHeight="1" x14ac:dyDescent="0.25">
      <c r="A61" s="119"/>
      <c r="B61" s="119"/>
      <c r="C61" s="119"/>
      <c r="D61" s="119"/>
      <c r="E61" s="119"/>
      <c r="F61" s="119"/>
      <c r="G61" s="119"/>
      <c r="H61" s="119"/>
      <c r="I61" s="119"/>
    </row>
    <row r="62" spans="1:9" ht="15" customHeight="1" x14ac:dyDescent="0.25">
      <c r="A62" s="119"/>
      <c r="B62" s="119"/>
      <c r="C62" s="119"/>
      <c r="D62" s="119"/>
      <c r="E62" s="119"/>
      <c r="F62" s="119"/>
      <c r="G62" s="119"/>
      <c r="H62" s="119"/>
      <c r="I62" s="119"/>
    </row>
    <row r="63" spans="1:9" ht="15" customHeight="1" x14ac:dyDescent="0.25">
      <c r="A63" s="119"/>
      <c r="B63" s="119"/>
      <c r="C63" s="119"/>
      <c r="D63" s="119"/>
      <c r="E63" s="119"/>
      <c r="F63" s="119"/>
      <c r="G63" s="119"/>
      <c r="H63" s="119"/>
      <c r="I63" s="119"/>
    </row>
    <row r="64" spans="1:9" ht="15" customHeight="1" x14ac:dyDescent="0.25">
      <c r="A64" s="119"/>
      <c r="B64" s="119"/>
      <c r="C64" s="119"/>
      <c r="D64" s="119"/>
      <c r="E64" s="119"/>
      <c r="F64" s="119"/>
      <c r="G64" s="119"/>
      <c r="H64" s="119"/>
      <c r="I64" s="119"/>
    </row>
    <row r="65" spans="1:9" ht="15" customHeight="1" x14ac:dyDescent="0.25">
      <c r="A65" s="119"/>
      <c r="B65" s="119"/>
      <c r="C65" s="119"/>
      <c r="D65" s="119"/>
      <c r="E65" s="119"/>
      <c r="F65" s="119"/>
      <c r="G65" s="119"/>
      <c r="H65" s="119"/>
      <c r="I65" s="119"/>
    </row>
    <row r="66" spans="1:9" ht="15" customHeight="1" x14ac:dyDescent="0.25">
      <c r="A66" s="119"/>
      <c r="B66" s="119"/>
      <c r="C66" s="119"/>
      <c r="D66" s="119"/>
      <c r="E66" s="119"/>
      <c r="F66" s="119"/>
      <c r="G66" s="119"/>
      <c r="H66" s="119"/>
      <c r="I66" s="119"/>
    </row>
    <row r="67" spans="1:9" ht="15" customHeight="1" x14ac:dyDescent="0.25">
      <c r="A67" s="119"/>
      <c r="B67" s="119"/>
      <c r="C67" s="119"/>
      <c r="D67" s="119"/>
      <c r="E67" s="119"/>
      <c r="F67" s="119"/>
      <c r="G67" s="119"/>
      <c r="H67" s="119"/>
      <c r="I67" s="119"/>
    </row>
    <row r="68" spans="1:9" ht="15" customHeight="1" x14ac:dyDescent="0.25">
      <c r="A68" s="119"/>
      <c r="B68" s="119"/>
      <c r="C68" s="119"/>
      <c r="D68" s="119"/>
      <c r="E68" s="119"/>
      <c r="F68" s="119"/>
      <c r="G68" s="119"/>
      <c r="H68" s="119"/>
      <c r="I68" s="119"/>
    </row>
    <row r="69" spans="1:9" ht="15" customHeight="1" x14ac:dyDescent="0.25">
      <c r="A69" s="119"/>
      <c r="B69" s="119"/>
      <c r="C69" s="119"/>
      <c r="D69" s="119"/>
      <c r="E69" s="119"/>
      <c r="F69" s="119"/>
      <c r="G69" s="119"/>
      <c r="H69" s="119"/>
      <c r="I69" s="119"/>
    </row>
    <row r="70" spans="1:9" ht="15" customHeight="1" x14ac:dyDescent="0.25">
      <c r="A70" s="119"/>
      <c r="B70" s="119"/>
      <c r="C70" s="119"/>
      <c r="D70" s="119"/>
      <c r="E70" s="119"/>
      <c r="F70" s="119"/>
      <c r="G70" s="119"/>
      <c r="H70" s="119"/>
      <c r="I70" s="119"/>
    </row>
    <row r="71" spans="1:9" ht="15" customHeight="1" x14ac:dyDescent="0.25">
      <c r="A71" s="119"/>
      <c r="B71" s="119"/>
      <c r="C71" s="119"/>
      <c r="D71" s="119"/>
      <c r="E71" s="119"/>
      <c r="F71" s="119"/>
      <c r="G71" s="119"/>
      <c r="H71" s="119"/>
      <c r="I71" s="119"/>
    </row>
    <row r="72" spans="1:9" ht="15" customHeight="1" x14ac:dyDescent="0.25">
      <c r="A72" s="119"/>
      <c r="B72" s="119"/>
      <c r="C72" s="119"/>
      <c r="D72" s="119"/>
      <c r="E72" s="119"/>
      <c r="F72" s="119"/>
      <c r="G72" s="119"/>
      <c r="H72" s="119"/>
      <c r="I72" s="119"/>
    </row>
    <row r="73" spans="1:9" ht="15" customHeight="1" x14ac:dyDescent="0.25">
      <c r="A73" s="119"/>
      <c r="B73" s="119"/>
      <c r="C73" s="119"/>
      <c r="D73" s="119"/>
      <c r="E73" s="119"/>
      <c r="F73" s="119"/>
      <c r="G73" s="119"/>
      <c r="H73" s="119"/>
      <c r="I73" s="119"/>
    </row>
    <row r="74" spans="1:9" ht="15" customHeight="1" x14ac:dyDescent="0.25">
      <c r="A74" s="119"/>
      <c r="B74" s="119"/>
      <c r="C74" s="119"/>
      <c r="D74" s="119"/>
      <c r="E74" s="119"/>
      <c r="F74" s="119"/>
      <c r="G74" s="119"/>
      <c r="H74" s="119"/>
      <c r="I74" s="119"/>
    </row>
    <row r="75" spans="1:9" ht="15" customHeight="1" x14ac:dyDescent="0.25">
      <c r="A75" s="119"/>
      <c r="B75" s="119"/>
      <c r="C75" s="119"/>
      <c r="D75" s="119"/>
      <c r="E75" s="119"/>
      <c r="F75" s="119"/>
      <c r="G75" s="119"/>
      <c r="H75" s="119"/>
      <c r="I75" s="119"/>
    </row>
    <row r="76" spans="1:9" ht="15" customHeight="1" x14ac:dyDescent="0.25">
      <c r="A76" s="119"/>
      <c r="B76" s="119"/>
      <c r="C76" s="119"/>
      <c r="D76" s="119"/>
      <c r="E76" s="119"/>
      <c r="F76" s="119"/>
      <c r="G76" s="119"/>
      <c r="H76" s="119"/>
      <c r="I76" s="119"/>
    </row>
    <row r="77" spans="1:9" ht="15" customHeight="1" x14ac:dyDescent="0.25">
      <c r="A77" s="119"/>
      <c r="B77" s="119"/>
      <c r="C77" s="119"/>
      <c r="D77" s="119"/>
      <c r="E77" s="119"/>
      <c r="F77" s="119"/>
      <c r="G77" s="119"/>
      <c r="H77" s="119"/>
      <c r="I77" s="119"/>
    </row>
    <row r="78" spans="1:9" ht="15" customHeight="1" x14ac:dyDescent="0.25">
      <c r="A78" s="119"/>
      <c r="B78" s="119"/>
      <c r="C78" s="119"/>
      <c r="D78" s="119"/>
      <c r="E78" s="119"/>
      <c r="F78" s="119"/>
      <c r="G78" s="119"/>
      <c r="H78" s="119"/>
      <c r="I78" s="119"/>
    </row>
  </sheetData>
  <sheetProtection algorithmName="SHA-512" hashValue="mA+kASk7f8Qvh3wXkxnQngFlFHGW8bJPpMlHpYIEacqjCt+GPW+69/+5ddCJ5ZAkUlLz9VuILI5mj6KRilleAQ==" saltValue="c3nF+eIkxKeJF24KZwernw==" spinCount="100000" sheet="1" objects="1" scenarios="1"/>
  <mergeCells count="41">
    <mergeCell ref="A17:G17"/>
    <mergeCell ref="A14:B14"/>
    <mergeCell ref="B19:C19"/>
    <mergeCell ref="A20:B20"/>
    <mergeCell ref="A1:G1"/>
    <mergeCell ref="A2:G4"/>
    <mergeCell ref="A5:G5"/>
    <mergeCell ref="A11:G11"/>
    <mergeCell ref="A13:B13"/>
    <mergeCell ref="E33:F33"/>
    <mergeCell ref="E34:F34"/>
    <mergeCell ref="C20:G20"/>
    <mergeCell ref="A7:G7"/>
    <mergeCell ref="B8:G8"/>
    <mergeCell ref="B9:G9"/>
    <mergeCell ref="D12:E12"/>
    <mergeCell ref="D13:E13"/>
    <mergeCell ref="D14:E14"/>
    <mergeCell ref="D15:E15"/>
    <mergeCell ref="D16:E16"/>
    <mergeCell ref="B18:C18"/>
    <mergeCell ref="A12:B12"/>
    <mergeCell ref="A15:B15"/>
    <mergeCell ref="A16:B16"/>
    <mergeCell ref="A21:G21"/>
    <mergeCell ref="E39:F39"/>
    <mergeCell ref="E22:F22"/>
    <mergeCell ref="E23:F23"/>
    <mergeCell ref="E24:F24"/>
    <mergeCell ref="E25:F25"/>
    <mergeCell ref="E26:F26"/>
    <mergeCell ref="E27:F27"/>
    <mergeCell ref="E28:F28"/>
    <mergeCell ref="E29:F29"/>
    <mergeCell ref="E30:F30"/>
    <mergeCell ref="E35:F35"/>
    <mergeCell ref="E36:F36"/>
    <mergeCell ref="E37:F37"/>
    <mergeCell ref="E38:F38"/>
    <mergeCell ref="E31:F31"/>
    <mergeCell ref="E32:F32"/>
  </mergeCells>
  <pageMargins left="0.7" right="0.7" top="0.75" bottom="0.75" header="0.3" footer="0.3"/>
  <pageSetup paperSize="9" scale="19" orientation="portrait" r:id="rId1"/>
  <headerFooter>
    <oddFooter>&amp;L&amp;F&amp;C&amp;P / &amp;N&amp;RCISO</oddFooter>
  </headerFooter>
  <customProperties>
    <customPr name="Guid" r:id="rId2"/>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7ABE5-88F8-49AD-9910-92B6953F1360}">
  <sheetPr>
    <tabColor rgb="FF66FF66"/>
    <pageSetUpPr autoPageBreaks="0"/>
  </sheetPr>
  <dimension ref="A1:AT168"/>
  <sheetViews>
    <sheetView zoomScale="70" zoomScaleNormal="70" workbookViewId="0">
      <pane xSplit="4" ySplit="10" topLeftCell="E11" activePane="bottomRight" state="frozen"/>
      <selection pane="topRight" activeCell="F1" sqref="F1"/>
      <selection pane="bottomLeft" activeCell="A11" sqref="A11"/>
      <selection pane="bottomRight" activeCell="A2" sqref="A2:I3"/>
    </sheetView>
  </sheetViews>
  <sheetFormatPr baseColWidth="10" defaultColWidth="8.7109375" defaultRowHeight="15" x14ac:dyDescent="0.25"/>
  <cols>
    <col min="1" max="1" width="9.7109375" bestFit="1" customWidth="1"/>
    <col min="2" max="2" width="8.7109375" style="3" collapsed="1"/>
    <col min="3" max="3" width="35" style="3" customWidth="1"/>
    <col min="4" max="4" width="35.42578125" style="3" customWidth="1"/>
    <col min="5" max="5" width="11.28515625" customWidth="1"/>
    <col min="6" max="7" width="5.7109375" style="105" customWidth="1"/>
    <col min="8" max="8" width="5.7109375" style="111" customWidth="1"/>
    <col min="9" max="9" width="20.7109375" style="106" customWidth="1"/>
    <col min="10" max="11" width="5.7109375" style="6" customWidth="1"/>
    <col min="12" max="12" width="5.7109375" customWidth="1"/>
    <col min="13" max="13" width="20.7109375" style="108" customWidth="1"/>
    <col min="14" max="15" width="5.7109375" customWidth="1"/>
    <col min="16" max="16" width="5.7109375" style="6" customWidth="1"/>
    <col min="17" max="17" width="20.7109375" style="113" customWidth="1"/>
    <col min="18" max="18" width="36.140625" style="3" customWidth="1"/>
    <col min="19" max="19" width="13" style="274" customWidth="1"/>
    <col min="20" max="20" width="15.7109375" style="274" bestFit="1" customWidth="1"/>
    <col min="21" max="21" width="18.140625" style="274" bestFit="1" customWidth="1"/>
    <col min="22" max="22" width="126" customWidth="1"/>
  </cols>
  <sheetData>
    <row r="1" spans="1:46" ht="5.0999999999999996" customHeight="1" x14ac:dyDescent="0.25">
      <c r="A1" s="7"/>
      <c r="B1" s="7"/>
      <c r="C1" s="7"/>
      <c r="D1" s="7"/>
      <c r="E1" s="8"/>
      <c r="F1" s="98"/>
      <c r="G1" s="98"/>
      <c r="H1" s="98"/>
      <c r="I1" s="13"/>
      <c r="J1" s="13"/>
      <c r="K1" s="8"/>
      <c r="L1" s="8"/>
      <c r="M1" s="13"/>
      <c r="N1" s="7"/>
      <c r="O1" s="7"/>
      <c r="P1" s="7"/>
      <c r="Q1" s="99"/>
      <c r="R1" s="99"/>
      <c r="S1" s="270"/>
      <c r="T1" s="270"/>
      <c r="U1" s="270"/>
      <c r="V1" s="33"/>
      <c r="X1" s="4"/>
    </row>
    <row r="2" spans="1:46" ht="26.1" customHeight="1" x14ac:dyDescent="0.25">
      <c r="A2" s="426" t="s">
        <v>652</v>
      </c>
      <c r="B2" s="353"/>
      <c r="C2" s="353"/>
      <c r="D2" s="353"/>
      <c r="E2" s="353"/>
      <c r="F2" s="353"/>
      <c r="G2" s="353"/>
      <c r="H2" s="353"/>
      <c r="I2" s="353"/>
      <c r="J2" s="14" t="s">
        <v>676</v>
      </c>
      <c r="K2" s="97"/>
      <c r="L2" s="109"/>
      <c r="M2" s="109"/>
      <c r="N2" s="16"/>
      <c r="O2" s="16"/>
      <c r="P2" s="10"/>
      <c r="Q2" s="10"/>
      <c r="R2" s="18"/>
      <c r="S2" s="271" t="s">
        <v>577</v>
      </c>
      <c r="T2" s="15" t="str">
        <f>'Dokument Owner &amp; History'!B8</f>
        <v>Strom AG</v>
      </c>
      <c r="U2" s="15"/>
      <c r="V2" s="15"/>
      <c r="W2" s="33"/>
      <c r="X2" s="37"/>
      <c r="Y2" s="33"/>
      <c r="Z2" s="33"/>
      <c r="AA2" s="33"/>
      <c r="AB2" s="33"/>
      <c r="AC2" s="33"/>
      <c r="AD2" s="33"/>
      <c r="AE2" s="33"/>
      <c r="AF2" s="33"/>
      <c r="AG2" s="33"/>
      <c r="AH2" s="33"/>
      <c r="AI2" s="33"/>
      <c r="AJ2" s="33"/>
      <c r="AK2" s="33"/>
      <c r="AL2" s="33"/>
      <c r="AM2" s="33"/>
      <c r="AN2" s="33"/>
      <c r="AO2" s="33"/>
      <c r="AP2" s="33"/>
      <c r="AQ2" s="33"/>
      <c r="AR2" s="33"/>
      <c r="AS2" s="33"/>
      <c r="AT2" s="33"/>
    </row>
    <row r="3" spans="1:46" ht="20.25" customHeight="1" x14ac:dyDescent="0.25">
      <c r="A3" s="353"/>
      <c r="B3" s="353"/>
      <c r="C3" s="353"/>
      <c r="D3" s="353"/>
      <c r="E3" s="353"/>
      <c r="F3" s="353"/>
      <c r="G3" s="353"/>
      <c r="H3" s="353"/>
      <c r="I3" s="353"/>
      <c r="J3" s="429" t="s">
        <v>487</v>
      </c>
      <c r="K3" s="429"/>
      <c r="L3" s="429"/>
      <c r="M3" s="429"/>
      <c r="N3" s="430"/>
      <c r="O3" s="407" t="s">
        <v>4</v>
      </c>
      <c r="P3" s="408"/>
      <c r="Q3" s="9" t="str">
        <f>IF(O3="-",'Values VSE and BFE'!B3,IF(O3="A",'Values VSE and BFE'!B4,IF(O3="B",'Values VSE and BFE'!B5,IF(O3="C",'Values VSE and BFE'!B6,))))</f>
        <v>≥ 450 GWh/year</v>
      </c>
      <c r="R3" s="12"/>
      <c r="S3" s="271" t="s">
        <v>579</v>
      </c>
      <c r="T3" s="9" t="str">
        <f>'Dokument Owner &amp; History'!C20</f>
        <v>Entire Strom AG Group with subsidiaries</v>
      </c>
      <c r="U3" s="9"/>
      <c r="V3" s="9"/>
      <c r="W3" s="33"/>
      <c r="X3" s="37"/>
      <c r="Y3" s="33"/>
      <c r="Z3" s="33"/>
      <c r="AA3" s="33"/>
      <c r="AB3" s="33"/>
      <c r="AC3" s="33"/>
      <c r="AD3" s="33"/>
      <c r="AE3" s="33"/>
      <c r="AF3" s="33"/>
      <c r="AG3" s="33"/>
      <c r="AH3" s="33"/>
      <c r="AI3" s="33"/>
      <c r="AJ3" s="33"/>
      <c r="AK3" s="33"/>
      <c r="AL3" s="33"/>
      <c r="AM3" s="33"/>
      <c r="AN3" s="33"/>
      <c r="AO3" s="33"/>
      <c r="AP3" s="33"/>
      <c r="AQ3" s="33"/>
      <c r="AR3" s="33"/>
      <c r="AS3" s="33"/>
      <c r="AT3" s="33"/>
    </row>
    <row r="4" spans="1:46" ht="5.0999999999999996" customHeight="1" x14ac:dyDescent="0.25">
      <c r="A4" s="269"/>
      <c r="B4" s="269"/>
      <c r="C4" s="269"/>
      <c r="D4" s="269"/>
      <c r="E4" s="10"/>
      <c r="F4" s="100"/>
      <c r="G4" s="97"/>
      <c r="H4" s="100"/>
      <c r="I4" s="18"/>
      <c r="J4" s="10"/>
      <c r="K4" s="100"/>
      <c r="L4" s="97"/>
      <c r="M4" s="100"/>
      <c r="N4" s="18"/>
      <c r="O4" s="17"/>
      <c r="P4" s="10"/>
      <c r="Q4" s="10"/>
      <c r="R4" s="18"/>
      <c r="S4" s="272"/>
      <c r="T4" s="272"/>
      <c r="U4" s="272"/>
      <c r="V4" s="33"/>
      <c r="W4" s="33"/>
      <c r="X4" s="37"/>
      <c r="Y4" s="33"/>
      <c r="Z4" s="33"/>
      <c r="AA4" s="33"/>
      <c r="AB4" s="33"/>
      <c r="AC4" s="33"/>
      <c r="AD4" s="33"/>
      <c r="AE4" s="33"/>
      <c r="AF4" s="33"/>
      <c r="AG4" s="33"/>
      <c r="AH4" s="33"/>
      <c r="AI4" s="33"/>
      <c r="AJ4" s="33"/>
      <c r="AK4" s="33"/>
      <c r="AL4" s="33"/>
      <c r="AM4" s="33"/>
      <c r="AN4" s="33"/>
      <c r="AO4" s="33"/>
      <c r="AP4" s="33"/>
      <c r="AQ4" s="33"/>
      <c r="AR4" s="33"/>
      <c r="AS4" s="33"/>
      <c r="AT4" s="33"/>
    </row>
    <row r="5" spans="1:46" ht="20.25" x14ac:dyDescent="0.25">
      <c r="A5" s="275" t="s">
        <v>649</v>
      </c>
      <c r="B5" s="9"/>
      <c r="C5" s="9"/>
      <c r="D5" s="9"/>
      <c r="E5" s="9"/>
      <c r="F5" s="9"/>
      <c r="G5" s="9"/>
      <c r="H5" s="9"/>
      <c r="I5" s="9"/>
      <c r="J5" s="427" t="s">
        <v>488</v>
      </c>
      <c r="K5" s="427"/>
      <c r="L5" s="427"/>
      <c r="M5" s="427"/>
      <c r="N5" s="428"/>
      <c r="O5" s="409" t="s">
        <v>489</v>
      </c>
      <c r="P5" s="410"/>
      <c r="Q5" s="9" t="str">
        <f>IF(O5="-",'Values VSE and BFE'!C3,IF(O5="A",'Values VSE and BFE'!C4,IF(O5="B",'Values VSE and BFE'!C5,)))</f>
        <v>≥ 100 MW and &lt; 800 MW</v>
      </c>
      <c r="R5" s="12"/>
      <c r="S5" s="271" t="s">
        <v>578</v>
      </c>
      <c r="T5" s="9" t="str">
        <f>'Dokument Owner &amp; History'!B19</f>
        <v>in Progress</v>
      </c>
      <c r="U5" s="9"/>
      <c r="V5" s="9"/>
      <c r="W5" s="33"/>
      <c r="X5" s="37"/>
      <c r="Y5" s="33"/>
      <c r="Z5" s="33"/>
      <c r="AA5" s="33"/>
      <c r="AB5" s="33"/>
      <c r="AC5" s="33"/>
      <c r="AD5" s="33"/>
      <c r="AE5" s="33"/>
      <c r="AF5" s="33"/>
      <c r="AG5" s="33"/>
      <c r="AH5" s="33"/>
      <c r="AI5" s="33"/>
      <c r="AJ5" s="33"/>
      <c r="AK5" s="33"/>
      <c r="AL5" s="33"/>
      <c r="AM5" s="33"/>
      <c r="AN5" s="33"/>
      <c r="AO5" s="33"/>
      <c r="AP5" s="33"/>
      <c r="AQ5" s="33"/>
      <c r="AR5" s="33"/>
      <c r="AS5" s="33"/>
      <c r="AT5" s="33"/>
    </row>
    <row r="6" spans="1:46" ht="5.0999999999999996" customHeight="1" thickBot="1" x14ac:dyDescent="0.3">
      <c r="A6" s="28"/>
      <c r="B6" s="29"/>
      <c r="C6" s="30"/>
      <c r="D6" s="31"/>
      <c r="E6" s="34"/>
      <c r="F6" s="101"/>
      <c r="G6" s="101"/>
      <c r="H6" s="101"/>
      <c r="I6" s="36"/>
      <c r="J6" s="36"/>
      <c r="K6" s="34"/>
      <c r="L6" s="34"/>
      <c r="M6" s="36"/>
      <c r="N6" s="35"/>
      <c r="O6" s="35"/>
      <c r="P6" s="35"/>
      <c r="Q6" s="102"/>
      <c r="R6" s="31"/>
      <c r="S6" s="273"/>
      <c r="T6" s="273"/>
      <c r="U6" s="273"/>
      <c r="V6" s="34"/>
      <c r="W6" s="8"/>
      <c r="X6" s="8"/>
      <c r="Y6" s="7"/>
      <c r="Z6" s="7"/>
      <c r="AA6" s="7"/>
      <c r="AB6" s="13"/>
      <c r="AC6" s="33"/>
      <c r="AD6" s="33"/>
      <c r="AE6" s="33"/>
      <c r="AF6" s="33"/>
      <c r="AG6" s="33"/>
      <c r="AH6" s="33"/>
      <c r="AI6" s="33"/>
      <c r="AJ6" s="33"/>
      <c r="AK6" s="33"/>
      <c r="AL6" s="33"/>
      <c r="AM6" s="33"/>
      <c r="AN6" s="33"/>
      <c r="AO6" s="33"/>
      <c r="AP6" s="33"/>
      <c r="AQ6" s="33"/>
      <c r="AR6" s="33"/>
      <c r="AS6" s="33"/>
      <c r="AT6" s="33"/>
    </row>
    <row r="7" spans="1:46" ht="20.25" customHeight="1" x14ac:dyDescent="0.25">
      <c r="A7" s="387" t="s">
        <v>0</v>
      </c>
      <c r="B7" s="390" t="s">
        <v>1</v>
      </c>
      <c r="C7" s="390" t="s">
        <v>2</v>
      </c>
      <c r="D7" s="390" t="s">
        <v>3</v>
      </c>
      <c r="E7" s="19"/>
      <c r="F7" s="420" t="s">
        <v>490</v>
      </c>
      <c r="G7" s="421"/>
      <c r="H7" s="421"/>
      <c r="I7" s="421"/>
      <c r="J7" s="421"/>
      <c r="K7" s="421"/>
      <c r="L7" s="421"/>
      <c r="M7" s="421"/>
      <c r="N7" s="421"/>
      <c r="O7" s="421"/>
      <c r="P7" s="421"/>
      <c r="Q7" s="421"/>
      <c r="R7" s="413" t="s">
        <v>392</v>
      </c>
      <c r="S7" s="414"/>
      <c r="T7" s="414"/>
      <c r="U7" s="414"/>
      <c r="V7" s="415"/>
      <c r="W7" s="33"/>
      <c r="X7" s="33"/>
      <c r="Y7" s="33"/>
      <c r="Z7" s="33"/>
      <c r="AA7" s="33"/>
      <c r="AB7" s="33"/>
      <c r="AC7" s="33"/>
      <c r="AD7" s="33"/>
      <c r="AE7" s="33"/>
      <c r="AF7" s="33"/>
      <c r="AG7" s="33"/>
      <c r="AH7" s="33"/>
      <c r="AI7" s="33"/>
      <c r="AJ7" s="33"/>
      <c r="AK7" s="33"/>
      <c r="AL7" s="33"/>
      <c r="AM7" s="33"/>
      <c r="AN7" s="33"/>
      <c r="AO7" s="33"/>
      <c r="AP7" s="33"/>
      <c r="AQ7" s="33"/>
      <c r="AR7" s="33"/>
      <c r="AS7" s="33"/>
      <c r="AT7" s="33"/>
    </row>
    <row r="8" spans="1:46" ht="15.75" customHeight="1" x14ac:dyDescent="0.25">
      <c r="A8" s="388"/>
      <c r="B8" s="391"/>
      <c r="C8" s="391"/>
      <c r="D8" s="391"/>
      <c r="E8" s="381" t="s">
        <v>560</v>
      </c>
      <c r="F8" s="360" t="s">
        <v>487</v>
      </c>
      <c r="G8" s="361"/>
      <c r="H8" s="361"/>
      <c r="I8" s="362"/>
      <c r="J8" s="363" t="s">
        <v>488</v>
      </c>
      <c r="K8" s="364"/>
      <c r="L8" s="364"/>
      <c r="M8" s="364"/>
      <c r="N8" s="365" t="s">
        <v>491</v>
      </c>
      <c r="O8" s="366"/>
      <c r="P8" s="366"/>
      <c r="Q8" s="366"/>
      <c r="R8" s="411" t="s">
        <v>648</v>
      </c>
      <c r="S8" s="418" t="s">
        <v>646</v>
      </c>
      <c r="T8" s="418" t="s">
        <v>647</v>
      </c>
      <c r="U8" s="418" t="s">
        <v>657</v>
      </c>
      <c r="V8" s="416" t="s">
        <v>616</v>
      </c>
      <c r="W8" s="33"/>
      <c r="X8" s="33"/>
      <c r="Y8" s="33"/>
      <c r="Z8" s="33"/>
      <c r="AA8" s="33"/>
      <c r="AB8" s="33"/>
      <c r="AC8" s="33"/>
      <c r="AD8" s="33"/>
      <c r="AE8" s="33"/>
      <c r="AF8" s="33"/>
      <c r="AG8" s="33"/>
      <c r="AH8" s="33"/>
      <c r="AI8" s="33"/>
      <c r="AJ8" s="33"/>
      <c r="AK8" s="33"/>
      <c r="AL8" s="33"/>
      <c r="AM8" s="33"/>
      <c r="AN8" s="33"/>
      <c r="AO8" s="33"/>
      <c r="AP8" s="33"/>
      <c r="AQ8" s="33"/>
      <c r="AR8" s="33"/>
      <c r="AS8" s="33"/>
      <c r="AT8" s="33"/>
    </row>
    <row r="9" spans="1:46" s="4" customFormat="1" ht="12.75" customHeight="1" x14ac:dyDescent="0.2">
      <c r="A9" s="388"/>
      <c r="B9" s="391"/>
      <c r="C9" s="391"/>
      <c r="D9" s="391"/>
      <c r="E9" s="381"/>
      <c r="F9" s="367" t="s">
        <v>486</v>
      </c>
      <c r="G9" s="369" t="s">
        <v>492</v>
      </c>
      <c r="H9" s="369" t="s">
        <v>493</v>
      </c>
      <c r="I9" s="422" t="s">
        <v>494</v>
      </c>
      <c r="J9" s="424" t="s">
        <v>486</v>
      </c>
      <c r="K9" s="379" t="s">
        <v>492</v>
      </c>
      <c r="L9" s="373" t="s">
        <v>493</v>
      </c>
      <c r="M9" s="375" t="s">
        <v>494</v>
      </c>
      <c r="N9" s="377" t="s">
        <v>486</v>
      </c>
      <c r="O9" s="371" t="s">
        <v>492</v>
      </c>
      <c r="P9" s="358" t="s">
        <v>493</v>
      </c>
      <c r="Q9" s="431" t="s">
        <v>494</v>
      </c>
      <c r="R9" s="411"/>
      <c r="S9" s="418"/>
      <c r="T9" s="418"/>
      <c r="U9" s="418"/>
      <c r="V9" s="416"/>
      <c r="W9" s="37"/>
      <c r="X9" s="37"/>
      <c r="Y9" s="37"/>
      <c r="Z9" s="37"/>
      <c r="AA9" s="37"/>
      <c r="AB9" s="37"/>
      <c r="AC9" s="37"/>
      <c r="AD9" s="37"/>
      <c r="AE9" s="37"/>
      <c r="AF9" s="37"/>
      <c r="AG9" s="37"/>
      <c r="AH9" s="37"/>
      <c r="AI9" s="37"/>
      <c r="AJ9" s="37"/>
      <c r="AK9" s="37"/>
      <c r="AL9" s="37"/>
      <c r="AM9" s="37"/>
      <c r="AN9" s="37"/>
      <c r="AO9" s="37"/>
      <c r="AP9" s="37"/>
      <c r="AQ9" s="37"/>
      <c r="AR9" s="37"/>
      <c r="AS9" s="37"/>
      <c r="AT9" s="37"/>
    </row>
    <row r="10" spans="1:46" s="5" customFormat="1" ht="63" customHeight="1" thickBot="1" x14ac:dyDescent="0.25">
      <c r="A10" s="389"/>
      <c r="B10" s="392"/>
      <c r="C10" s="392"/>
      <c r="D10" s="392"/>
      <c r="E10" s="382"/>
      <c r="F10" s="368"/>
      <c r="G10" s="370"/>
      <c r="H10" s="370"/>
      <c r="I10" s="423"/>
      <c r="J10" s="425"/>
      <c r="K10" s="380"/>
      <c r="L10" s="374"/>
      <c r="M10" s="376"/>
      <c r="N10" s="378"/>
      <c r="O10" s="372"/>
      <c r="P10" s="359"/>
      <c r="Q10" s="432"/>
      <c r="R10" s="412"/>
      <c r="S10" s="419"/>
      <c r="T10" s="419"/>
      <c r="U10" s="419"/>
      <c r="V10" s="417"/>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row>
    <row r="11" spans="1:46" ht="409.5" x14ac:dyDescent="0.25">
      <c r="A11" s="395" t="s">
        <v>6</v>
      </c>
      <c r="B11" s="44" t="s">
        <v>7</v>
      </c>
      <c r="C11" s="45" t="s">
        <v>8</v>
      </c>
      <c r="D11" s="46" t="s">
        <v>9</v>
      </c>
      <c r="E11" s="241" t="s">
        <v>545</v>
      </c>
      <c r="F11" s="242" t="s">
        <v>498</v>
      </c>
      <c r="G11" s="243">
        <v>1</v>
      </c>
      <c r="H11" s="244">
        <v>4</v>
      </c>
      <c r="I11" s="245"/>
      <c r="J11" s="242" t="s">
        <v>503</v>
      </c>
      <c r="K11" s="243">
        <v>2</v>
      </c>
      <c r="L11" s="244">
        <v>4</v>
      </c>
      <c r="M11" s="245"/>
      <c r="N11" s="242" t="s">
        <v>503</v>
      </c>
      <c r="O11" s="243">
        <v>3</v>
      </c>
      <c r="P11" s="244">
        <v>4</v>
      </c>
      <c r="Q11" s="276"/>
      <c r="R11" s="296" t="s">
        <v>10</v>
      </c>
      <c r="S11" s="297" t="s">
        <v>618</v>
      </c>
      <c r="T11" s="297" t="s">
        <v>619</v>
      </c>
      <c r="U11" s="297" t="s">
        <v>620</v>
      </c>
      <c r="V11" s="287" t="s">
        <v>393</v>
      </c>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row>
    <row r="12" spans="1:46" ht="115.5" x14ac:dyDescent="0.25">
      <c r="A12" s="396"/>
      <c r="B12" s="22" t="s">
        <v>12</v>
      </c>
      <c r="C12" s="20" t="s">
        <v>13</v>
      </c>
      <c r="D12" s="21" t="s">
        <v>14</v>
      </c>
      <c r="E12" s="246" t="s">
        <v>546</v>
      </c>
      <c r="F12" s="247"/>
      <c r="G12" s="248">
        <v>2</v>
      </c>
      <c r="H12" s="249">
        <v>3</v>
      </c>
      <c r="I12" s="250"/>
      <c r="J12" s="247"/>
      <c r="K12" s="248">
        <v>1</v>
      </c>
      <c r="L12" s="249">
        <v>3</v>
      </c>
      <c r="M12" s="250"/>
      <c r="N12" s="247"/>
      <c r="O12" s="248">
        <v>1</v>
      </c>
      <c r="P12" s="249">
        <v>2</v>
      </c>
      <c r="Q12" s="277"/>
      <c r="R12" s="298" t="s">
        <v>15</v>
      </c>
      <c r="S12" s="299" t="s">
        <v>618</v>
      </c>
      <c r="T12" s="299" t="s">
        <v>619</v>
      </c>
      <c r="U12" s="299" t="s">
        <v>620</v>
      </c>
      <c r="V12" s="288" t="s">
        <v>394</v>
      </c>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row>
    <row r="13" spans="1:46" ht="140.25" x14ac:dyDescent="0.25">
      <c r="A13" s="396"/>
      <c r="B13" s="22" t="s">
        <v>16</v>
      </c>
      <c r="C13" s="20" t="s">
        <v>17</v>
      </c>
      <c r="D13" s="21" t="s">
        <v>18</v>
      </c>
      <c r="E13" s="246" t="s">
        <v>546</v>
      </c>
      <c r="F13" s="247"/>
      <c r="G13" s="248">
        <v>3</v>
      </c>
      <c r="H13" s="249">
        <v>2</v>
      </c>
      <c r="I13" s="250"/>
      <c r="J13" s="247"/>
      <c r="K13" s="248">
        <v>3</v>
      </c>
      <c r="L13" s="249">
        <v>2</v>
      </c>
      <c r="M13" s="250"/>
      <c r="N13" s="247"/>
      <c r="O13" s="248">
        <v>3</v>
      </c>
      <c r="P13" s="249">
        <v>2</v>
      </c>
      <c r="Q13" s="277"/>
      <c r="R13" s="298" t="s">
        <v>19</v>
      </c>
      <c r="S13" s="299" t="s">
        <v>618</v>
      </c>
      <c r="T13" s="299" t="s">
        <v>619</v>
      </c>
      <c r="U13" s="299" t="s">
        <v>621</v>
      </c>
      <c r="V13" s="288" t="s">
        <v>395</v>
      </c>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row>
    <row r="14" spans="1:46" ht="99" x14ac:dyDescent="0.25">
      <c r="A14" s="396"/>
      <c r="B14" s="22" t="s">
        <v>20</v>
      </c>
      <c r="C14" s="20" t="s">
        <v>21</v>
      </c>
      <c r="D14" s="21" t="s">
        <v>22</v>
      </c>
      <c r="E14" s="246" t="s">
        <v>546</v>
      </c>
      <c r="F14" s="247"/>
      <c r="G14" s="248">
        <v>4</v>
      </c>
      <c r="H14" s="249">
        <v>1</v>
      </c>
      <c r="I14" s="250"/>
      <c r="J14" s="247"/>
      <c r="K14" s="248">
        <v>4</v>
      </c>
      <c r="L14" s="249">
        <v>2</v>
      </c>
      <c r="M14" s="250"/>
      <c r="N14" s="247"/>
      <c r="O14" s="248">
        <v>4</v>
      </c>
      <c r="P14" s="249">
        <v>2</v>
      </c>
      <c r="Q14" s="277"/>
      <c r="R14" s="298" t="s">
        <v>23</v>
      </c>
      <c r="S14" s="299" t="s">
        <v>618</v>
      </c>
      <c r="T14" s="299" t="s">
        <v>619</v>
      </c>
      <c r="U14" s="299" t="s">
        <v>620</v>
      </c>
      <c r="V14" s="288" t="s">
        <v>396</v>
      </c>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row>
    <row r="15" spans="1:46" ht="63.75" customHeight="1" x14ac:dyDescent="0.25">
      <c r="A15" s="396"/>
      <c r="B15" s="22" t="s">
        <v>24</v>
      </c>
      <c r="C15" s="20" t="s">
        <v>25</v>
      </c>
      <c r="D15" s="21" t="s">
        <v>26</v>
      </c>
      <c r="E15" s="246" t="s">
        <v>546</v>
      </c>
      <c r="F15" s="247"/>
      <c r="G15" s="248">
        <v>1</v>
      </c>
      <c r="H15" s="249">
        <v>4</v>
      </c>
      <c r="I15" s="250"/>
      <c r="J15" s="247"/>
      <c r="K15" s="248">
        <v>1</v>
      </c>
      <c r="L15" s="249">
        <v>3</v>
      </c>
      <c r="M15" s="250"/>
      <c r="N15" s="247"/>
      <c r="O15" s="248">
        <v>1</v>
      </c>
      <c r="P15" s="249">
        <v>3</v>
      </c>
      <c r="Q15" s="277"/>
      <c r="R15" s="298" t="s">
        <v>27</v>
      </c>
      <c r="S15" s="299" t="s">
        <v>622</v>
      </c>
      <c r="T15" s="299" t="s">
        <v>619</v>
      </c>
      <c r="U15" s="299" t="s">
        <v>623</v>
      </c>
      <c r="V15" s="288" t="s">
        <v>397</v>
      </c>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row>
    <row r="16" spans="1:46" ht="63.75" x14ac:dyDescent="0.25">
      <c r="A16" s="396"/>
      <c r="B16" s="22" t="s">
        <v>28</v>
      </c>
      <c r="C16" s="20" t="s">
        <v>29</v>
      </c>
      <c r="D16" s="21" t="s">
        <v>30</v>
      </c>
      <c r="E16" s="246" t="s">
        <v>546</v>
      </c>
      <c r="F16" s="247"/>
      <c r="G16" s="248">
        <v>2</v>
      </c>
      <c r="H16" s="249">
        <v>3</v>
      </c>
      <c r="I16" s="250"/>
      <c r="J16" s="247"/>
      <c r="K16" s="248">
        <v>2</v>
      </c>
      <c r="L16" s="249">
        <v>3</v>
      </c>
      <c r="M16" s="250"/>
      <c r="N16" s="247"/>
      <c r="O16" s="248">
        <v>2</v>
      </c>
      <c r="P16" s="249">
        <v>3</v>
      </c>
      <c r="Q16" s="277"/>
      <c r="R16" s="298" t="s">
        <v>31</v>
      </c>
      <c r="S16" s="299" t="s">
        <v>622</v>
      </c>
      <c r="T16" s="299" t="s">
        <v>619</v>
      </c>
      <c r="U16" s="299" t="s">
        <v>623</v>
      </c>
      <c r="V16" s="288" t="s">
        <v>398</v>
      </c>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row>
    <row r="17" spans="1:46" ht="239.25" x14ac:dyDescent="0.25">
      <c r="A17" s="396"/>
      <c r="B17" s="22" t="s">
        <v>32</v>
      </c>
      <c r="C17" s="20" t="s">
        <v>33</v>
      </c>
      <c r="D17" s="21" t="s">
        <v>34</v>
      </c>
      <c r="E17" s="246" t="s">
        <v>546</v>
      </c>
      <c r="F17" s="247"/>
      <c r="G17" s="248">
        <v>3</v>
      </c>
      <c r="H17" s="249">
        <v>3</v>
      </c>
      <c r="I17" s="250"/>
      <c r="J17" s="247"/>
      <c r="K17" s="248">
        <v>3</v>
      </c>
      <c r="L17" s="249">
        <v>2</v>
      </c>
      <c r="M17" s="250"/>
      <c r="N17" s="247"/>
      <c r="O17" s="248">
        <v>3</v>
      </c>
      <c r="P17" s="249">
        <v>2</v>
      </c>
      <c r="Q17" s="277"/>
      <c r="R17" s="298" t="s">
        <v>35</v>
      </c>
      <c r="S17" s="299" t="s">
        <v>624</v>
      </c>
      <c r="T17" s="299" t="s">
        <v>619</v>
      </c>
      <c r="U17" s="299" t="s">
        <v>625</v>
      </c>
      <c r="V17" s="288" t="s">
        <v>399</v>
      </c>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row>
    <row r="18" spans="1:46" ht="297" x14ac:dyDescent="0.25">
      <c r="A18" s="396"/>
      <c r="B18" s="22" t="s">
        <v>36</v>
      </c>
      <c r="C18" s="20" t="s">
        <v>37</v>
      </c>
      <c r="D18" s="21" t="s">
        <v>38</v>
      </c>
      <c r="E18" s="246" t="s">
        <v>546</v>
      </c>
      <c r="F18" s="247"/>
      <c r="G18" s="248">
        <v>4</v>
      </c>
      <c r="H18" s="249">
        <v>3</v>
      </c>
      <c r="I18" s="250"/>
      <c r="J18" s="247"/>
      <c r="K18" s="248">
        <v>3</v>
      </c>
      <c r="L18" s="249">
        <v>3</v>
      </c>
      <c r="M18" s="250"/>
      <c r="N18" s="247"/>
      <c r="O18" s="248">
        <v>3</v>
      </c>
      <c r="P18" s="249">
        <v>3</v>
      </c>
      <c r="Q18" s="277"/>
      <c r="R18" s="298" t="s">
        <v>39</v>
      </c>
      <c r="S18" s="299" t="s">
        <v>618</v>
      </c>
      <c r="T18" s="299" t="s">
        <v>619</v>
      </c>
      <c r="U18" s="299" t="s">
        <v>626</v>
      </c>
      <c r="V18" s="288" t="s">
        <v>400</v>
      </c>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row>
    <row r="19" spans="1:46" ht="297" x14ac:dyDescent="0.25">
      <c r="A19" s="396"/>
      <c r="B19" s="22" t="s">
        <v>40</v>
      </c>
      <c r="C19" s="20" t="s">
        <v>41</v>
      </c>
      <c r="D19" s="21" t="s">
        <v>42</v>
      </c>
      <c r="E19" s="246" t="s">
        <v>546</v>
      </c>
      <c r="F19" s="247"/>
      <c r="G19" s="248">
        <v>1</v>
      </c>
      <c r="H19" s="249">
        <v>3</v>
      </c>
      <c r="I19" s="250"/>
      <c r="J19" s="247"/>
      <c r="K19" s="248">
        <v>1</v>
      </c>
      <c r="L19" s="249">
        <v>2</v>
      </c>
      <c r="M19" s="250"/>
      <c r="N19" s="247"/>
      <c r="O19" s="248">
        <v>2</v>
      </c>
      <c r="P19" s="249">
        <v>2</v>
      </c>
      <c r="Q19" s="277"/>
      <c r="R19" s="298" t="s">
        <v>43</v>
      </c>
      <c r="S19" s="299" t="s">
        <v>618</v>
      </c>
      <c r="T19" s="299" t="s">
        <v>619</v>
      </c>
      <c r="U19" s="299" t="s">
        <v>620</v>
      </c>
      <c r="V19" s="288" t="s">
        <v>401</v>
      </c>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row>
    <row r="20" spans="1:46" ht="181.5" x14ac:dyDescent="0.25">
      <c r="A20" s="396"/>
      <c r="B20" s="22" t="s">
        <v>44</v>
      </c>
      <c r="C20" s="20" t="s">
        <v>45</v>
      </c>
      <c r="D20" s="21" t="s">
        <v>46</v>
      </c>
      <c r="E20" s="246" t="s">
        <v>546</v>
      </c>
      <c r="F20" s="247"/>
      <c r="G20" s="248">
        <v>2</v>
      </c>
      <c r="H20" s="249">
        <v>4</v>
      </c>
      <c r="I20" s="250"/>
      <c r="J20" s="247"/>
      <c r="K20" s="248">
        <v>1</v>
      </c>
      <c r="L20" s="249">
        <v>4</v>
      </c>
      <c r="M20" s="250"/>
      <c r="N20" s="247"/>
      <c r="O20" s="248">
        <v>2</v>
      </c>
      <c r="P20" s="249">
        <v>4</v>
      </c>
      <c r="Q20" s="277"/>
      <c r="R20" s="298" t="s">
        <v>47</v>
      </c>
      <c r="S20" s="299" t="s">
        <v>618</v>
      </c>
      <c r="T20" s="299" t="s">
        <v>619</v>
      </c>
      <c r="U20" s="299" t="s">
        <v>621</v>
      </c>
      <c r="V20" s="288" t="s">
        <v>402</v>
      </c>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row>
    <row r="21" spans="1:46" ht="115.5" x14ac:dyDescent="0.25">
      <c r="A21" s="396"/>
      <c r="B21" s="22" t="s">
        <v>48</v>
      </c>
      <c r="C21" s="20" t="s">
        <v>49</v>
      </c>
      <c r="D21" s="21" t="s">
        <v>50</v>
      </c>
      <c r="E21" s="246" t="s">
        <v>546</v>
      </c>
      <c r="F21" s="247"/>
      <c r="G21" s="248">
        <v>3</v>
      </c>
      <c r="H21" s="249">
        <v>4</v>
      </c>
      <c r="I21" s="250"/>
      <c r="J21" s="247"/>
      <c r="K21" s="248">
        <v>3</v>
      </c>
      <c r="L21" s="249">
        <v>4</v>
      </c>
      <c r="M21" s="250"/>
      <c r="N21" s="247"/>
      <c r="O21" s="248">
        <v>3</v>
      </c>
      <c r="P21" s="249">
        <v>3</v>
      </c>
      <c r="Q21" s="277"/>
      <c r="R21" s="298" t="s">
        <v>51</v>
      </c>
      <c r="S21" s="299" t="s">
        <v>618</v>
      </c>
      <c r="T21" s="299" t="s">
        <v>619</v>
      </c>
      <c r="U21" s="299" t="s">
        <v>621</v>
      </c>
      <c r="V21" s="288" t="s">
        <v>403</v>
      </c>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row>
    <row r="22" spans="1:46" ht="206.25" x14ac:dyDescent="0.25">
      <c r="A22" s="396"/>
      <c r="B22" s="22" t="s">
        <v>52</v>
      </c>
      <c r="C22" s="20" t="s">
        <v>53</v>
      </c>
      <c r="D22" s="21" t="s">
        <v>54</v>
      </c>
      <c r="E22" s="246" t="s">
        <v>546</v>
      </c>
      <c r="F22" s="247"/>
      <c r="G22" s="248">
        <v>4</v>
      </c>
      <c r="H22" s="249">
        <v>4</v>
      </c>
      <c r="I22" s="250"/>
      <c r="J22" s="247"/>
      <c r="K22" s="248">
        <v>4</v>
      </c>
      <c r="L22" s="249">
        <v>4</v>
      </c>
      <c r="M22" s="250"/>
      <c r="N22" s="247"/>
      <c r="O22" s="248">
        <v>4</v>
      </c>
      <c r="P22" s="249">
        <v>4</v>
      </c>
      <c r="Q22" s="277"/>
      <c r="R22" s="298" t="s">
        <v>55</v>
      </c>
      <c r="S22" s="299" t="s">
        <v>618</v>
      </c>
      <c r="T22" s="299" t="s">
        <v>619</v>
      </c>
      <c r="U22" s="299" t="s">
        <v>620</v>
      </c>
      <c r="V22" s="288" t="s">
        <v>404</v>
      </c>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row>
    <row r="23" spans="1:46" ht="222.75" x14ac:dyDescent="0.25">
      <c r="A23" s="396"/>
      <c r="B23" s="22" t="s">
        <v>56</v>
      </c>
      <c r="C23" s="20" t="s">
        <v>57</v>
      </c>
      <c r="D23" s="21" t="s">
        <v>58</v>
      </c>
      <c r="E23" s="246" t="s">
        <v>546</v>
      </c>
      <c r="F23" s="247"/>
      <c r="G23" s="248">
        <v>2</v>
      </c>
      <c r="H23" s="249">
        <v>3</v>
      </c>
      <c r="I23" s="250"/>
      <c r="J23" s="247"/>
      <c r="K23" s="248">
        <v>1</v>
      </c>
      <c r="L23" s="249">
        <v>3</v>
      </c>
      <c r="M23" s="251"/>
      <c r="N23" s="247"/>
      <c r="O23" s="248">
        <v>2</v>
      </c>
      <c r="P23" s="249">
        <v>3</v>
      </c>
      <c r="Q23" s="277"/>
      <c r="R23" s="298" t="s">
        <v>59</v>
      </c>
      <c r="S23" s="299" t="s">
        <v>618</v>
      </c>
      <c r="T23" s="299" t="s">
        <v>619</v>
      </c>
      <c r="U23" s="299" t="s">
        <v>621</v>
      </c>
      <c r="V23" s="288" t="s">
        <v>405</v>
      </c>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row>
    <row r="24" spans="1:46" ht="409.5" x14ac:dyDescent="0.25">
      <c r="A24" s="396"/>
      <c r="B24" s="22" t="s">
        <v>60</v>
      </c>
      <c r="C24" s="20" t="s">
        <v>61</v>
      </c>
      <c r="D24" s="21" t="s">
        <v>62</v>
      </c>
      <c r="E24" s="246" t="s">
        <v>546</v>
      </c>
      <c r="F24" s="247"/>
      <c r="G24" s="248">
        <v>2</v>
      </c>
      <c r="H24" s="249">
        <v>4</v>
      </c>
      <c r="I24" s="250"/>
      <c r="J24" s="247"/>
      <c r="K24" s="248">
        <v>3</v>
      </c>
      <c r="L24" s="249">
        <v>3</v>
      </c>
      <c r="M24" s="250"/>
      <c r="N24" s="247"/>
      <c r="O24" s="248">
        <v>2</v>
      </c>
      <c r="P24" s="249">
        <v>3</v>
      </c>
      <c r="Q24" s="277"/>
      <c r="R24" s="298" t="s">
        <v>63</v>
      </c>
      <c r="S24" s="299" t="s">
        <v>618</v>
      </c>
      <c r="T24" s="299" t="s">
        <v>619</v>
      </c>
      <c r="U24" s="299" t="s">
        <v>621</v>
      </c>
      <c r="V24" s="288" t="s">
        <v>406</v>
      </c>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row>
    <row r="25" spans="1:46" ht="198" x14ac:dyDescent="0.25">
      <c r="A25" s="396"/>
      <c r="B25" s="22" t="s">
        <v>64</v>
      </c>
      <c r="C25" s="20" t="s">
        <v>65</v>
      </c>
      <c r="D25" s="21" t="s">
        <v>66</v>
      </c>
      <c r="E25" s="246" t="s">
        <v>546</v>
      </c>
      <c r="F25" s="247"/>
      <c r="G25" s="248">
        <v>3</v>
      </c>
      <c r="H25" s="249">
        <v>3</v>
      </c>
      <c r="I25" s="250"/>
      <c r="J25" s="247"/>
      <c r="K25" s="248">
        <v>3</v>
      </c>
      <c r="L25" s="249">
        <v>3</v>
      </c>
      <c r="M25" s="250"/>
      <c r="N25" s="247"/>
      <c r="O25" s="248">
        <v>3</v>
      </c>
      <c r="P25" s="249">
        <v>3</v>
      </c>
      <c r="Q25" s="277"/>
      <c r="R25" s="298" t="s">
        <v>67</v>
      </c>
      <c r="S25" s="299" t="s">
        <v>618</v>
      </c>
      <c r="T25" s="299" t="s">
        <v>619</v>
      </c>
      <c r="U25" s="299" t="s">
        <v>621</v>
      </c>
      <c r="V25" s="288" t="s">
        <v>407</v>
      </c>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row>
    <row r="26" spans="1:46" ht="140.25" x14ac:dyDescent="0.25">
      <c r="A26" s="396"/>
      <c r="B26" s="22" t="s">
        <v>68</v>
      </c>
      <c r="C26" s="20" t="s">
        <v>69</v>
      </c>
      <c r="D26" s="21" t="s">
        <v>70</v>
      </c>
      <c r="E26" s="246" t="s">
        <v>546</v>
      </c>
      <c r="F26" s="247"/>
      <c r="G26" s="248">
        <v>3</v>
      </c>
      <c r="H26" s="249">
        <v>4</v>
      </c>
      <c r="I26" s="250"/>
      <c r="J26" s="247"/>
      <c r="K26" s="248">
        <v>3</v>
      </c>
      <c r="L26" s="249">
        <v>3</v>
      </c>
      <c r="M26" s="250"/>
      <c r="N26" s="247"/>
      <c r="O26" s="248">
        <v>2</v>
      </c>
      <c r="P26" s="249">
        <v>2</v>
      </c>
      <c r="Q26" s="277"/>
      <c r="R26" s="298" t="s">
        <v>71</v>
      </c>
      <c r="S26" s="299" t="s">
        <v>618</v>
      </c>
      <c r="T26" s="299" t="s">
        <v>627</v>
      </c>
      <c r="U26" s="299" t="s">
        <v>621</v>
      </c>
      <c r="V26" s="288" t="s">
        <v>408</v>
      </c>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row>
    <row r="27" spans="1:46" ht="338.25" x14ac:dyDescent="0.25">
      <c r="A27" s="396"/>
      <c r="B27" s="22" t="s">
        <v>72</v>
      </c>
      <c r="C27" s="20" t="s">
        <v>73</v>
      </c>
      <c r="D27" s="21" t="s">
        <v>74</v>
      </c>
      <c r="E27" s="246" t="s">
        <v>546</v>
      </c>
      <c r="F27" s="247"/>
      <c r="G27" s="248">
        <v>1</v>
      </c>
      <c r="H27" s="249">
        <v>3</v>
      </c>
      <c r="I27" s="250"/>
      <c r="J27" s="247"/>
      <c r="K27" s="248">
        <v>1</v>
      </c>
      <c r="L27" s="249">
        <v>3</v>
      </c>
      <c r="M27" s="250"/>
      <c r="N27" s="247"/>
      <c r="O27" s="248">
        <v>1</v>
      </c>
      <c r="P27" s="249">
        <v>3</v>
      </c>
      <c r="Q27" s="277"/>
      <c r="R27" s="298" t="s">
        <v>75</v>
      </c>
      <c r="S27" s="299" t="s">
        <v>618</v>
      </c>
      <c r="T27" s="299" t="s">
        <v>619</v>
      </c>
      <c r="U27" s="299" t="s">
        <v>621</v>
      </c>
      <c r="V27" s="289" t="s">
        <v>409</v>
      </c>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row>
    <row r="28" spans="1:46" ht="214.5" x14ac:dyDescent="0.25">
      <c r="A28" s="396"/>
      <c r="B28" s="22" t="s">
        <v>76</v>
      </c>
      <c r="C28" s="20" t="s">
        <v>77</v>
      </c>
      <c r="D28" s="21" t="s">
        <v>78</v>
      </c>
      <c r="E28" s="246" t="s">
        <v>546</v>
      </c>
      <c r="F28" s="247"/>
      <c r="G28" s="248">
        <v>2</v>
      </c>
      <c r="H28" s="249">
        <v>4</v>
      </c>
      <c r="I28" s="250"/>
      <c r="J28" s="247"/>
      <c r="K28" s="248">
        <v>2</v>
      </c>
      <c r="L28" s="249">
        <v>4</v>
      </c>
      <c r="M28" s="250"/>
      <c r="N28" s="247"/>
      <c r="O28" s="248">
        <v>2</v>
      </c>
      <c r="P28" s="249">
        <v>4</v>
      </c>
      <c r="Q28" s="277"/>
      <c r="R28" s="298" t="s">
        <v>79</v>
      </c>
      <c r="S28" s="299" t="s">
        <v>618</v>
      </c>
      <c r="T28" s="299" t="s">
        <v>619</v>
      </c>
      <c r="U28" s="299" t="s">
        <v>621</v>
      </c>
      <c r="V28" s="289" t="s">
        <v>410</v>
      </c>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row>
    <row r="29" spans="1:46" ht="321.75" x14ac:dyDescent="0.25">
      <c r="A29" s="396"/>
      <c r="B29" s="22" t="s">
        <v>80</v>
      </c>
      <c r="C29" s="20" t="s">
        <v>81</v>
      </c>
      <c r="D29" s="21" t="s">
        <v>82</v>
      </c>
      <c r="E29" s="246" t="s">
        <v>546</v>
      </c>
      <c r="F29" s="247"/>
      <c r="G29" s="248">
        <v>1</v>
      </c>
      <c r="H29" s="249">
        <v>3</v>
      </c>
      <c r="I29" s="250"/>
      <c r="J29" s="247"/>
      <c r="K29" s="248">
        <v>2</v>
      </c>
      <c r="L29" s="249">
        <v>2</v>
      </c>
      <c r="M29" s="250"/>
      <c r="N29" s="247"/>
      <c r="O29" s="248">
        <v>1</v>
      </c>
      <c r="P29" s="249">
        <v>1</v>
      </c>
      <c r="Q29" s="277"/>
      <c r="R29" s="298" t="s">
        <v>83</v>
      </c>
      <c r="S29" s="299" t="s">
        <v>618</v>
      </c>
      <c r="T29" s="299" t="s">
        <v>619</v>
      </c>
      <c r="U29" s="299" t="s">
        <v>620</v>
      </c>
      <c r="V29" s="288" t="s">
        <v>411</v>
      </c>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row>
    <row r="30" spans="1:46" ht="371.25" x14ac:dyDescent="0.25">
      <c r="A30" s="396"/>
      <c r="B30" s="22" t="s">
        <v>84</v>
      </c>
      <c r="C30" s="20" t="s">
        <v>85</v>
      </c>
      <c r="D30" s="21" t="s">
        <v>86</v>
      </c>
      <c r="E30" s="246" t="s">
        <v>546</v>
      </c>
      <c r="F30" s="247"/>
      <c r="G30" s="248">
        <v>3</v>
      </c>
      <c r="H30" s="252">
        <v>4</v>
      </c>
      <c r="I30" s="253"/>
      <c r="J30" s="247"/>
      <c r="K30" s="248">
        <v>3</v>
      </c>
      <c r="L30" s="252">
        <v>4</v>
      </c>
      <c r="M30" s="250"/>
      <c r="N30" s="247"/>
      <c r="O30" s="248">
        <v>2</v>
      </c>
      <c r="P30" s="252">
        <v>4</v>
      </c>
      <c r="Q30" s="278"/>
      <c r="R30" s="298" t="s">
        <v>83</v>
      </c>
      <c r="S30" s="299" t="s">
        <v>618</v>
      </c>
      <c r="T30" s="299" t="s">
        <v>619</v>
      </c>
      <c r="U30" s="299" t="s">
        <v>620</v>
      </c>
      <c r="V30" s="288" t="s">
        <v>412</v>
      </c>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row>
    <row r="31" spans="1:46" ht="189.75" x14ac:dyDescent="0.25">
      <c r="A31" s="396"/>
      <c r="B31" s="22" t="s">
        <v>87</v>
      </c>
      <c r="C31" s="20" t="s">
        <v>88</v>
      </c>
      <c r="D31" s="21" t="s">
        <v>89</v>
      </c>
      <c r="E31" s="246" t="s">
        <v>546</v>
      </c>
      <c r="F31" s="247"/>
      <c r="G31" s="248">
        <v>1</v>
      </c>
      <c r="H31" s="252">
        <v>3</v>
      </c>
      <c r="I31" s="253"/>
      <c r="J31" s="247"/>
      <c r="K31" s="248">
        <v>1</v>
      </c>
      <c r="L31" s="252">
        <v>3</v>
      </c>
      <c r="M31" s="254"/>
      <c r="N31" s="247"/>
      <c r="O31" s="248">
        <v>1</v>
      </c>
      <c r="P31" s="252">
        <v>3</v>
      </c>
      <c r="Q31" s="278"/>
      <c r="R31" s="298" t="s">
        <v>83</v>
      </c>
      <c r="S31" s="299" t="s">
        <v>618</v>
      </c>
      <c r="T31" s="299" t="s">
        <v>619</v>
      </c>
      <c r="U31" s="299" t="s">
        <v>620</v>
      </c>
      <c r="V31" s="288" t="s">
        <v>413</v>
      </c>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row>
    <row r="32" spans="1:46" ht="280.5" x14ac:dyDescent="0.25">
      <c r="A32" s="396"/>
      <c r="B32" s="22" t="s">
        <v>90</v>
      </c>
      <c r="C32" s="20" t="s">
        <v>91</v>
      </c>
      <c r="D32" s="21" t="s">
        <v>92</v>
      </c>
      <c r="E32" s="246" t="s">
        <v>546</v>
      </c>
      <c r="F32" s="247"/>
      <c r="G32" s="248">
        <v>2</v>
      </c>
      <c r="H32" s="252">
        <v>4</v>
      </c>
      <c r="I32" s="253"/>
      <c r="J32" s="247"/>
      <c r="K32" s="248">
        <v>2</v>
      </c>
      <c r="L32" s="252">
        <v>4</v>
      </c>
      <c r="M32" s="254"/>
      <c r="N32" s="247"/>
      <c r="O32" s="248">
        <v>2</v>
      </c>
      <c r="P32" s="252">
        <v>4</v>
      </c>
      <c r="Q32" s="278"/>
      <c r="R32" s="298" t="s">
        <v>93</v>
      </c>
      <c r="S32" s="299" t="s">
        <v>618</v>
      </c>
      <c r="T32" s="299" t="s">
        <v>619</v>
      </c>
      <c r="U32" s="299" t="s">
        <v>620</v>
      </c>
      <c r="V32" s="288" t="s">
        <v>414</v>
      </c>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row>
    <row r="33" spans="1:46" ht="409.5" x14ac:dyDescent="0.25">
      <c r="A33" s="396"/>
      <c r="B33" s="22" t="s">
        <v>94</v>
      </c>
      <c r="C33" s="20" t="s">
        <v>95</v>
      </c>
      <c r="D33" s="21" t="s">
        <v>96</v>
      </c>
      <c r="E33" s="246" t="s">
        <v>546</v>
      </c>
      <c r="F33" s="247"/>
      <c r="G33" s="248">
        <v>1</v>
      </c>
      <c r="H33" s="249">
        <v>3</v>
      </c>
      <c r="I33" s="250"/>
      <c r="J33" s="247"/>
      <c r="K33" s="248">
        <v>4</v>
      </c>
      <c r="L33" s="249">
        <v>3</v>
      </c>
      <c r="M33" s="254"/>
      <c r="N33" s="247"/>
      <c r="O33" s="248">
        <v>4</v>
      </c>
      <c r="P33" s="249">
        <v>3</v>
      </c>
      <c r="Q33" s="277"/>
      <c r="R33" s="298" t="s">
        <v>97</v>
      </c>
      <c r="S33" s="299" t="s">
        <v>618</v>
      </c>
      <c r="T33" s="299" t="s">
        <v>619</v>
      </c>
      <c r="U33" s="299" t="s">
        <v>621</v>
      </c>
      <c r="V33" s="288" t="s">
        <v>415</v>
      </c>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row>
    <row r="34" spans="1:46" ht="346.5" x14ac:dyDescent="0.25">
      <c r="A34" s="396"/>
      <c r="B34" s="22" t="s">
        <v>98</v>
      </c>
      <c r="C34" s="20" t="s">
        <v>99</v>
      </c>
      <c r="D34" s="21" t="s">
        <v>100</v>
      </c>
      <c r="E34" s="246" t="s">
        <v>546</v>
      </c>
      <c r="F34" s="247"/>
      <c r="G34" s="248">
        <v>4</v>
      </c>
      <c r="H34" s="249">
        <v>4</v>
      </c>
      <c r="I34" s="250"/>
      <c r="J34" s="247"/>
      <c r="K34" s="248">
        <v>4</v>
      </c>
      <c r="L34" s="249">
        <v>4</v>
      </c>
      <c r="M34" s="254"/>
      <c r="N34" s="247"/>
      <c r="O34" s="248">
        <v>4</v>
      </c>
      <c r="P34" s="249">
        <v>4</v>
      </c>
      <c r="Q34" s="277"/>
      <c r="R34" s="298" t="s">
        <v>101</v>
      </c>
      <c r="S34" s="299" t="s">
        <v>628</v>
      </c>
      <c r="T34" s="299" t="s">
        <v>619</v>
      </c>
      <c r="U34" s="299" t="s">
        <v>629</v>
      </c>
      <c r="V34" s="288" t="s">
        <v>416</v>
      </c>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row>
    <row r="35" spans="1:46" ht="63.75" x14ac:dyDescent="0.25">
      <c r="A35" s="396"/>
      <c r="B35" s="22" t="s">
        <v>102</v>
      </c>
      <c r="C35" s="20" t="s">
        <v>103</v>
      </c>
      <c r="D35" s="21" t="s">
        <v>104</v>
      </c>
      <c r="E35" s="246" t="s">
        <v>546</v>
      </c>
      <c r="F35" s="247"/>
      <c r="G35" s="248">
        <v>1</v>
      </c>
      <c r="H35" s="249">
        <v>3</v>
      </c>
      <c r="I35" s="250"/>
      <c r="J35" s="247"/>
      <c r="K35" s="248">
        <v>1</v>
      </c>
      <c r="L35" s="249">
        <v>3</v>
      </c>
      <c r="M35" s="250"/>
      <c r="N35" s="247"/>
      <c r="O35" s="248">
        <v>1</v>
      </c>
      <c r="P35" s="249">
        <v>3</v>
      </c>
      <c r="Q35" s="277"/>
      <c r="R35" s="298" t="s">
        <v>105</v>
      </c>
      <c r="S35" s="299" t="s">
        <v>630</v>
      </c>
      <c r="T35" s="299" t="s">
        <v>619</v>
      </c>
      <c r="U35" s="299" t="s">
        <v>631</v>
      </c>
      <c r="V35" s="288" t="s">
        <v>417</v>
      </c>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row>
    <row r="36" spans="1:46" ht="123.75" x14ac:dyDescent="0.25">
      <c r="A36" s="396"/>
      <c r="B36" s="22" t="s">
        <v>106</v>
      </c>
      <c r="C36" s="20" t="s">
        <v>107</v>
      </c>
      <c r="D36" s="21" t="s">
        <v>108</v>
      </c>
      <c r="E36" s="246" t="s">
        <v>546</v>
      </c>
      <c r="F36" s="247"/>
      <c r="G36" s="248">
        <v>2</v>
      </c>
      <c r="H36" s="249">
        <v>4</v>
      </c>
      <c r="I36" s="250"/>
      <c r="J36" s="247"/>
      <c r="K36" s="248">
        <v>2</v>
      </c>
      <c r="L36" s="249">
        <v>4</v>
      </c>
      <c r="M36" s="250"/>
      <c r="N36" s="247"/>
      <c r="O36" s="248">
        <v>2</v>
      </c>
      <c r="P36" s="249">
        <v>4</v>
      </c>
      <c r="Q36" s="277"/>
      <c r="R36" s="298" t="s">
        <v>109</v>
      </c>
      <c r="S36" s="299" t="s">
        <v>628</v>
      </c>
      <c r="T36" s="299" t="s">
        <v>619</v>
      </c>
      <c r="U36" s="299" t="s">
        <v>629</v>
      </c>
      <c r="V36" s="288" t="s">
        <v>418</v>
      </c>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row>
    <row r="37" spans="1:46" ht="66" x14ac:dyDescent="0.25">
      <c r="A37" s="396"/>
      <c r="B37" s="22" t="s">
        <v>110</v>
      </c>
      <c r="C37" s="20" t="s">
        <v>111</v>
      </c>
      <c r="D37" s="21" t="s">
        <v>112</v>
      </c>
      <c r="E37" s="246" t="s">
        <v>546</v>
      </c>
      <c r="F37" s="247"/>
      <c r="G37" s="248">
        <v>1</v>
      </c>
      <c r="H37" s="249">
        <v>3</v>
      </c>
      <c r="I37" s="250"/>
      <c r="J37" s="247"/>
      <c r="K37" s="248">
        <v>2</v>
      </c>
      <c r="L37" s="249">
        <v>3</v>
      </c>
      <c r="M37" s="250"/>
      <c r="N37" s="247"/>
      <c r="O37" s="248">
        <v>3</v>
      </c>
      <c r="P37" s="249">
        <v>3</v>
      </c>
      <c r="Q37" s="277"/>
      <c r="R37" s="298" t="s">
        <v>113</v>
      </c>
      <c r="S37" s="299" t="s">
        <v>618</v>
      </c>
      <c r="T37" s="299" t="s">
        <v>619</v>
      </c>
      <c r="U37" s="299" t="s">
        <v>626</v>
      </c>
      <c r="V37" s="288" t="s">
        <v>419</v>
      </c>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row>
    <row r="38" spans="1:46" ht="115.5" x14ac:dyDescent="0.25">
      <c r="A38" s="396"/>
      <c r="B38" s="22" t="s">
        <v>114</v>
      </c>
      <c r="C38" s="20" t="s">
        <v>115</v>
      </c>
      <c r="D38" s="21" t="s">
        <v>116</v>
      </c>
      <c r="E38" s="246" t="s">
        <v>546</v>
      </c>
      <c r="F38" s="247"/>
      <c r="G38" s="248">
        <v>3</v>
      </c>
      <c r="H38" s="249">
        <v>4</v>
      </c>
      <c r="I38" s="250"/>
      <c r="J38" s="247"/>
      <c r="K38" s="248">
        <v>2</v>
      </c>
      <c r="L38" s="249">
        <v>4</v>
      </c>
      <c r="M38" s="254"/>
      <c r="N38" s="247"/>
      <c r="O38" s="248">
        <v>3</v>
      </c>
      <c r="P38" s="249">
        <v>4</v>
      </c>
      <c r="Q38" s="277"/>
      <c r="R38" s="298" t="s">
        <v>117</v>
      </c>
      <c r="S38" s="299" t="s">
        <v>628</v>
      </c>
      <c r="T38" s="299" t="s">
        <v>619</v>
      </c>
      <c r="U38" s="299" t="s">
        <v>632</v>
      </c>
      <c r="V38" s="288" t="s">
        <v>420</v>
      </c>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row>
    <row r="39" spans="1:46" ht="82.5" x14ac:dyDescent="0.25">
      <c r="A39" s="396"/>
      <c r="B39" s="22" t="s">
        <v>118</v>
      </c>
      <c r="C39" s="20" t="s">
        <v>119</v>
      </c>
      <c r="D39" s="21" t="s">
        <v>120</v>
      </c>
      <c r="E39" s="246" t="s">
        <v>546</v>
      </c>
      <c r="F39" s="247"/>
      <c r="G39" s="248">
        <v>3</v>
      </c>
      <c r="H39" s="249">
        <v>3</v>
      </c>
      <c r="I39" s="250"/>
      <c r="J39" s="247"/>
      <c r="K39" s="248">
        <v>1</v>
      </c>
      <c r="L39" s="249">
        <v>3</v>
      </c>
      <c r="M39" s="250"/>
      <c r="N39" s="247"/>
      <c r="O39" s="248">
        <v>2</v>
      </c>
      <c r="P39" s="249">
        <v>3</v>
      </c>
      <c r="Q39" s="277"/>
      <c r="R39" s="298" t="s">
        <v>121</v>
      </c>
      <c r="S39" s="299" t="s">
        <v>622</v>
      </c>
      <c r="T39" s="299" t="s">
        <v>619</v>
      </c>
      <c r="U39" s="299" t="s">
        <v>633</v>
      </c>
      <c r="V39" s="288" t="s">
        <v>421</v>
      </c>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row>
    <row r="40" spans="1:46" ht="214.5" x14ac:dyDescent="0.25">
      <c r="A40" s="396"/>
      <c r="B40" s="22" t="s">
        <v>122</v>
      </c>
      <c r="C40" s="20" t="s">
        <v>123</v>
      </c>
      <c r="D40" s="21" t="s">
        <v>124</v>
      </c>
      <c r="E40" s="246" t="s">
        <v>546</v>
      </c>
      <c r="F40" s="247"/>
      <c r="G40" s="248">
        <v>2</v>
      </c>
      <c r="H40" s="249">
        <v>4</v>
      </c>
      <c r="I40" s="250"/>
      <c r="J40" s="247"/>
      <c r="K40" s="248">
        <v>1</v>
      </c>
      <c r="L40" s="249">
        <v>3</v>
      </c>
      <c r="M40" s="250"/>
      <c r="N40" s="247"/>
      <c r="O40" s="248">
        <v>1</v>
      </c>
      <c r="P40" s="249">
        <v>3</v>
      </c>
      <c r="Q40" s="277"/>
      <c r="R40" s="298" t="s">
        <v>125</v>
      </c>
      <c r="S40" s="299" t="s">
        <v>628</v>
      </c>
      <c r="T40" s="299" t="s">
        <v>617</v>
      </c>
      <c r="U40" s="299" t="s">
        <v>634</v>
      </c>
      <c r="V40" s="288" t="s">
        <v>422</v>
      </c>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row>
    <row r="41" spans="1:46" ht="272.25" x14ac:dyDescent="0.25">
      <c r="A41" s="396"/>
      <c r="B41" s="22" t="s">
        <v>126</v>
      </c>
      <c r="C41" s="20" t="s">
        <v>127</v>
      </c>
      <c r="D41" s="21" t="s">
        <v>128</v>
      </c>
      <c r="E41" s="246" t="s">
        <v>546</v>
      </c>
      <c r="F41" s="247"/>
      <c r="G41" s="248">
        <v>2</v>
      </c>
      <c r="H41" s="249">
        <v>4</v>
      </c>
      <c r="I41" s="250"/>
      <c r="J41" s="247"/>
      <c r="K41" s="248">
        <v>2</v>
      </c>
      <c r="L41" s="249">
        <v>4</v>
      </c>
      <c r="M41" s="250"/>
      <c r="N41" s="247"/>
      <c r="O41" s="248">
        <v>2</v>
      </c>
      <c r="P41" s="249">
        <v>4</v>
      </c>
      <c r="Q41" s="277"/>
      <c r="R41" s="298" t="s">
        <v>129</v>
      </c>
      <c r="S41" s="299" t="s">
        <v>618</v>
      </c>
      <c r="T41" s="299" t="s">
        <v>619</v>
      </c>
      <c r="U41" s="299" t="s">
        <v>620</v>
      </c>
      <c r="V41" s="288" t="s">
        <v>423</v>
      </c>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row>
    <row r="42" spans="1:46" ht="115.5" x14ac:dyDescent="0.25">
      <c r="A42" s="396"/>
      <c r="B42" s="22" t="s">
        <v>130</v>
      </c>
      <c r="C42" s="20" t="s">
        <v>131</v>
      </c>
      <c r="D42" s="21" t="s">
        <v>132</v>
      </c>
      <c r="E42" s="246" t="s">
        <v>546</v>
      </c>
      <c r="F42" s="247"/>
      <c r="G42" s="248">
        <v>4</v>
      </c>
      <c r="H42" s="249">
        <v>4</v>
      </c>
      <c r="I42" s="250"/>
      <c r="J42" s="247"/>
      <c r="K42" s="248">
        <v>2</v>
      </c>
      <c r="L42" s="249">
        <v>4</v>
      </c>
      <c r="M42" s="254"/>
      <c r="N42" s="247"/>
      <c r="O42" s="248">
        <v>2</v>
      </c>
      <c r="P42" s="249">
        <v>4</v>
      </c>
      <c r="Q42" s="277"/>
      <c r="R42" s="298" t="s">
        <v>133</v>
      </c>
      <c r="S42" s="299" t="s">
        <v>618</v>
      </c>
      <c r="T42" s="299" t="s">
        <v>619</v>
      </c>
      <c r="U42" s="299" t="s">
        <v>620</v>
      </c>
      <c r="V42" s="288" t="s">
        <v>424</v>
      </c>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row>
    <row r="43" spans="1:46" ht="189.75" x14ac:dyDescent="0.25">
      <c r="A43" s="396"/>
      <c r="B43" s="22" t="s">
        <v>134</v>
      </c>
      <c r="C43" s="20" t="s">
        <v>135</v>
      </c>
      <c r="D43" s="21" t="s">
        <v>136</v>
      </c>
      <c r="E43" s="246" t="s">
        <v>546</v>
      </c>
      <c r="F43" s="247"/>
      <c r="G43" s="248">
        <v>1</v>
      </c>
      <c r="H43" s="249">
        <v>3</v>
      </c>
      <c r="I43" s="250"/>
      <c r="J43" s="247"/>
      <c r="K43" s="248">
        <v>2</v>
      </c>
      <c r="L43" s="249">
        <v>3</v>
      </c>
      <c r="M43" s="250"/>
      <c r="N43" s="247"/>
      <c r="O43" s="248">
        <v>3</v>
      </c>
      <c r="P43" s="249">
        <v>3</v>
      </c>
      <c r="Q43" s="277"/>
      <c r="R43" s="298" t="s">
        <v>137</v>
      </c>
      <c r="S43" s="299" t="s">
        <v>618</v>
      </c>
      <c r="T43" s="299" t="s">
        <v>619</v>
      </c>
      <c r="U43" s="299" t="s">
        <v>626</v>
      </c>
      <c r="V43" s="288" t="s">
        <v>425</v>
      </c>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row>
    <row r="44" spans="1:46" ht="99" x14ac:dyDescent="0.25">
      <c r="A44" s="396"/>
      <c r="B44" s="22" t="s">
        <v>138</v>
      </c>
      <c r="C44" s="20" t="s">
        <v>139</v>
      </c>
      <c r="D44" s="21" t="s">
        <v>140</v>
      </c>
      <c r="E44" s="246" t="s">
        <v>546</v>
      </c>
      <c r="F44" s="247"/>
      <c r="G44" s="248">
        <v>2</v>
      </c>
      <c r="H44" s="249">
        <v>4</v>
      </c>
      <c r="I44" s="250"/>
      <c r="J44" s="247"/>
      <c r="K44" s="248">
        <v>3</v>
      </c>
      <c r="L44" s="249">
        <v>4</v>
      </c>
      <c r="M44" s="250"/>
      <c r="N44" s="247"/>
      <c r="O44" s="248">
        <v>1</v>
      </c>
      <c r="P44" s="249">
        <v>4</v>
      </c>
      <c r="Q44" s="277"/>
      <c r="R44" s="298" t="s">
        <v>141</v>
      </c>
      <c r="S44" s="299" t="s">
        <v>618</v>
      </c>
      <c r="T44" s="299" t="s">
        <v>619</v>
      </c>
      <c r="U44" s="299" t="s">
        <v>626</v>
      </c>
      <c r="V44" s="288" t="s">
        <v>426</v>
      </c>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row>
    <row r="45" spans="1:46" ht="148.5" x14ac:dyDescent="0.25">
      <c r="A45" s="396"/>
      <c r="B45" s="22" t="s">
        <v>142</v>
      </c>
      <c r="C45" s="20" t="s">
        <v>143</v>
      </c>
      <c r="D45" s="21" t="s">
        <v>144</v>
      </c>
      <c r="E45" s="246" t="s">
        <v>545</v>
      </c>
      <c r="F45" s="247"/>
      <c r="G45" s="248">
        <v>3</v>
      </c>
      <c r="H45" s="249">
        <v>3</v>
      </c>
      <c r="I45" s="250"/>
      <c r="J45" s="247"/>
      <c r="K45" s="248">
        <v>2</v>
      </c>
      <c r="L45" s="249">
        <v>2</v>
      </c>
      <c r="M45" s="250"/>
      <c r="N45" s="247"/>
      <c r="O45" s="248">
        <v>1</v>
      </c>
      <c r="P45" s="249">
        <v>1</v>
      </c>
      <c r="Q45" s="277"/>
      <c r="R45" s="298" t="s">
        <v>145</v>
      </c>
      <c r="S45" s="299" t="s">
        <v>622</v>
      </c>
      <c r="T45" s="299" t="s">
        <v>619</v>
      </c>
      <c r="U45" s="299" t="s">
        <v>626</v>
      </c>
      <c r="V45" s="288" t="s">
        <v>427</v>
      </c>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row>
    <row r="46" spans="1:46" ht="107.25" x14ac:dyDescent="0.25">
      <c r="A46" s="396"/>
      <c r="B46" s="22" t="s">
        <v>146</v>
      </c>
      <c r="C46" s="20" t="s">
        <v>147</v>
      </c>
      <c r="D46" s="21" t="s">
        <v>148</v>
      </c>
      <c r="E46" s="246" t="s">
        <v>546</v>
      </c>
      <c r="F46" s="247"/>
      <c r="G46" s="248">
        <v>4</v>
      </c>
      <c r="H46" s="249">
        <v>4</v>
      </c>
      <c r="I46" s="250"/>
      <c r="J46" s="247"/>
      <c r="K46" s="248">
        <v>1</v>
      </c>
      <c r="L46" s="249">
        <v>4</v>
      </c>
      <c r="M46" s="250"/>
      <c r="N46" s="247"/>
      <c r="O46" s="248">
        <v>2</v>
      </c>
      <c r="P46" s="249">
        <v>3</v>
      </c>
      <c r="Q46" s="277"/>
      <c r="R46" s="298" t="s">
        <v>149</v>
      </c>
      <c r="S46" s="299" t="s">
        <v>618</v>
      </c>
      <c r="T46" s="299" t="s">
        <v>619</v>
      </c>
      <c r="U46" s="299" t="s">
        <v>626</v>
      </c>
      <c r="V46" s="288" t="s">
        <v>428</v>
      </c>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row>
    <row r="47" spans="1:46" ht="165" x14ac:dyDescent="0.25">
      <c r="A47" s="396"/>
      <c r="B47" s="138" t="s">
        <v>150</v>
      </c>
      <c r="C47" s="139" t="s">
        <v>151</v>
      </c>
      <c r="D47" s="140" t="s">
        <v>152</v>
      </c>
      <c r="E47" s="255" t="s">
        <v>545</v>
      </c>
      <c r="F47" s="256"/>
      <c r="G47" s="257">
        <v>1</v>
      </c>
      <c r="H47" s="258">
        <v>3</v>
      </c>
      <c r="I47" s="259"/>
      <c r="J47" s="256"/>
      <c r="K47" s="257">
        <v>2</v>
      </c>
      <c r="L47" s="258">
        <v>3</v>
      </c>
      <c r="M47" s="259"/>
      <c r="N47" s="256"/>
      <c r="O47" s="257">
        <v>2</v>
      </c>
      <c r="P47" s="258">
        <v>3</v>
      </c>
      <c r="Q47" s="279"/>
      <c r="R47" s="300" t="s">
        <v>153</v>
      </c>
      <c r="S47" s="301" t="s">
        <v>622</v>
      </c>
      <c r="T47" s="301" t="s">
        <v>619</v>
      </c>
      <c r="U47" s="301" t="s">
        <v>635</v>
      </c>
      <c r="V47" s="290" t="s">
        <v>429</v>
      </c>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row>
    <row r="48" spans="1:46" ht="20.100000000000001" customHeight="1" thickBot="1" x14ac:dyDescent="0.3">
      <c r="A48" s="397"/>
      <c r="B48" s="398" t="s">
        <v>606</v>
      </c>
      <c r="C48" s="398"/>
      <c r="D48" s="398"/>
      <c r="E48" s="143"/>
      <c r="F48" s="141"/>
      <c r="G48" s="144">
        <f>IF(COUNT(G11:G47)&lt;&gt;0,SUM(G11:G47)/COUNT(G11:G47),"")</f>
        <v>2.2702702702702702</v>
      </c>
      <c r="H48" s="145">
        <f>IF(COUNT(H11:H47)&lt;&gt;0,SUM(H11:H47)/COUNT(H11:H47),"")</f>
        <v>3.4054054054054053</v>
      </c>
      <c r="I48" s="142"/>
      <c r="J48" s="141"/>
      <c r="K48" s="144">
        <f>IF(COUNT(K11:K47)&lt;&gt;0,SUM(K11:K47)/COUNT(K11:K47),"")</f>
        <v>2.1621621621621623</v>
      </c>
      <c r="L48" s="145">
        <f>IF(COUNT(L11:L47)&lt;&gt;0,SUM(L11:L47)/COUNT(L11:L47),"")</f>
        <v>3.2162162162162162</v>
      </c>
      <c r="M48" s="142"/>
      <c r="N48" s="141"/>
      <c r="O48" s="144">
        <f>IF(COUNT(O11:O47)&lt;&gt;0,SUM(O11:O47)/COUNT(O11:O47),"")</f>
        <v>2.2162162162162162</v>
      </c>
      <c r="P48" s="145">
        <f>IF(COUNT(P11:P47)&lt;&gt;0,SUM(P11:P47)/COUNT(P11:P47),"")</f>
        <v>3.0540540540540539</v>
      </c>
      <c r="Q48" s="280"/>
      <c r="R48" s="302"/>
      <c r="S48" s="303"/>
      <c r="T48" s="303"/>
      <c r="U48" s="303"/>
      <c r="V48" s="291"/>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row>
    <row r="49" spans="1:46" ht="222.75" x14ac:dyDescent="0.25">
      <c r="A49" s="400" t="s">
        <v>154</v>
      </c>
      <c r="B49" s="43" t="s">
        <v>155</v>
      </c>
      <c r="C49" s="41" t="s">
        <v>156</v>
      </c>
      <c r="D49" s="40" t="s">
        <v>157</v>
      </c>
      <c r="E49" s="260" t="s">
        <v>544</v>
      </c>
      <c r="F49" s="261"/>
      <c r="G49" s="262">
        <v>2</v>
      </c>
      <c r="H49" s="263">
        <v>4</v>
      </c>
      <c r="I49" s="264"/>
      <c r="J49" s="261"/>
      <c r="K49" s="262">
        <v>1</v>
      </c>
      <c r="L49" s="263">
        <v>3</v>
      </c>
      <c r="M49" s="264"/>
      <c r="N49" s="261"/>
      <c r="O49" s="262">
        <v>1</v>
      </c>
      <c r="P49" s="263">
        <v>3</v>
      </c>
      <c r="Q49" s="281"/>
      <c r="R49" s="304" t="s">
        <v>158</v>
      </c>
      <c r="S49" s="305" t="s">
        <v>618</v>
      </c>
      <c r="T49" s="305" t="s">
        <v>627</v>
      </c>
      <c r="U49" s="305" t="s">
        <v>621</v>
      </c>
      <c r="V49" s="292" t="s">
        <v>430</v>
      </c>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row>
    <row r="50" spans="1:46" ht="156.75" x14ac:dyDescent="0.25">
      <c r="A50" s="401"/>
      <c r="B50" s="24" t="s">
        <v>159</v>
      </c>
      <c r="C50" s="23" t="s">
        <v>160</v>
      </c>
      <c r="D50" s="21" t="s">
        <v>161</v>
      </c>
      <c r="E50" s="246" t="s">
        <v>546</v>
      </c>
      <c r="F50" s="247"/>
      <c r="G50" s="248">
        <v>2</v>
      </c>
      <c r="H50" s="249">
        <v>3</v>
      </c>
      <c r="I50" s="250"/>
      <c r="J50" s="247"/>
      <c r="K50" s="248">
        <v>2</v>
      </c>
      <c r="L50" s="249">
        <v>3</v>
      </c>
      <c r="M50" s="250"/>
      <c r="N50" s="247"/>
      <c r="O50" s="248">
        <v>2</v>
      </c>
      <c r="P50" s="249">
        <v>3</v>
      </c>
      <c r="Q50" s="277"/>
      <c r="R50" s="298" t="s">
        <v>162</v>
      </c>
      <c r="S50" s="299" t="s">
        <v>618</v>
      </c>
      <c r="T50" s="299" t="s">
        <v>619</v>
      </c>
      <c r="U50" s="299" t="s">
        <v>621</v>
      </c>
      <c r="V50" s="288" t="s">
        <v>431</v>
      </c>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row>
    <row r="51" spans="1:46" ht="280.5" x14ac:dyDescent="0.25">
      <c r="A51" s="401"/>
      <c r="B51" s="24" t="s">
        <v>163</v>
      </c>
      <c r="C51" s="23" t="s">
        <v>164</v>
      </c>
      <c r="D51" s="21" t="s">
        <v>165</v>
      </c>
      <c r="E51" s="246" t="s">
        <v>546</v>
      </c>
      <c r="F51" s="247"/>
      <c r="G51" s="248">
        <v>3</v>
      </c>
      <c r="H51" s="249">
        <v>4</v>
      </c>
      <c r="I51" s="250"/>
      <c r="J51" s="247"/>
      <c r="K51" s="248">
        <v>1</v>
      </c>
      <c r="L51" s="249">
        <v>4</v>
      </c>
      <c r="M51" s="250"/>
      <c r="N51" s="247"/>
      <c r="O51" s="248">
        <v>2</v>
      </c>
      <c r="P51" s="249">
        <v>4</v>
      </c>
      <c r="Q51" s="277"/>
      <c r="R51" s="298" t="s">
        <v>166</v>
      </c>
      <c r="S51" s="299" t="s">
        <v>618</v>
      </c>
      <c r="T51" s="299" t="s">
        <v>619</v>
      </c>
      <c r="U51" s="299" t="s">
        <v>621</v>
      </c>
      <c r="V51" s="288" t="s">
        <v>432</v>
      </c>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row>
    <row r="52" spans="1:46" ht="114.75" x14ac:dyDescent="0.25">
      <c r="A52" s="401"/>
      <c r="B52" s="24" t="s">
        <v>167</v>
      </c>
      <c r="C52" s="23" t="s">
        <v>168</v>
      </c>
      <c r="D52" s="21" t="s">
        <v>169</v>
      </c>
      <c r="E52" s="246" t="s">
        <v>544</v>
      </c>
      <c r="F52" s="247"/>
      <c r="G52" s="248">
        <v>4</v>
      </c>
      <c r="H52" s="249">
        <v>4</v>
      </c>
      <c r="I52" s="250"/>
      <c r="J52" s="247"/>
      <c r="K52" s="248">
        <v>4</v>
      </c>
      <c r="L52" s="249">
        <v>4</v>
      </c>
      <c r="M52" s="250"/>
      <c r="N52" s="247"/>
      <c r="O52" s="248">
        <v>2</v>
      </c>
      <c r="P52" s="249">
        <v>4</v>
      </c>
      <c r="Q52" s="277"/>
      <c r="R52" s="298" t="s">
        <v>170</v>
      </c>
      <c r="S52" s="299" t="s">
        <v>622</v>
      </c>
      <c r="T52" s="299" t="s">
        <v>619</v>
      </c>
      <c r="U52" s="299" t="s">
        <v>633</v>
      </c>
      <c r="V52" s="288" t="s">
        <v>433</v>
      </c>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row>
    <row r="53" spans="1:46" ht="115.5" x14ac:dyDescent="0.25">
      <c r="A53" s="401"/>
      <c r="B53" s="24" t="s">
        <v>171</v>
      </c>
      <c r="C53" s="23" t="s">
        <v>172</v>
      </c>
      <c r="D53" s="21" t="s">
        <v>173</v>
      </c>
      <c r="E53" s="246" t="s">
        <v>545</v>
      </c>
      <c r="F53" s="247"/>
      <c r="G53" s="248">
        <v>1</v>
      </c>
      <c r="H53" s="249">
        <v>4</v>
      </c>
      <c r="I53" s="250"/>
      <c r="J53" s="247"/>
      <c r="K53" s="248">
        <v>1</v>
      </c>
      <c r="L53" s="249">
        <v>4</v>
      </c>
      <c r="M53" s="250"/>
      <c r="N53" s="247"/>
      <c r="O53" s="248">
        <v>1</v>
      </c>
      <c r="P53" s="249">
        <v>4</v>
      </c>
      <c r="Q53" s="277"/>
      <c r="R53" s="298" t="s">
        <v>174</v>
      </c>
      <c r="S53" s="299" t="s">
        <v>618</v>
      </c>
      <c r="T53" s="299" t="s">
        <v>619</v>
      </c>
      <c r="U53" s="299" t="s">
        <v>621</v>
      </c>
      <c r="V53" s="288" t="s">
        <v>434</v>
      </c>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row>
    <row r="54" spans="1:46" ht="156.75" x14ac:dyDescent="0.25">
      <c r="A54" s="401"/>
      <c r="B54" s="24" t="s">
        <v>175</v>
      </c>
      <c r="C54" s="23" t="s">
        <v>176</v>
      </c>
      <c r="D54" s="21" t="s">
        <v>177</v>
      </c>
      <c r="E54" s="246" t="s">
        <v>546</v>
      </c>
      <c r="F54" s="247"/>
      <c r="G54" s="248">
        <v>3</v>
      </c>
      <c r="H54" s="249">
        <v>3</v>
      </c>
      <c r="I54" s="250"/>
      <c r="J54" s="247"/>
      <c r="K54" s="248">
        <v>1</v>
      </c>
      <c r="L54" s="249">
        <v>3</v>
      </c>
      <c r="M54" s="250"/>
      <c r="N54" s="247"/>
      <c r="O54" s="248">
        <v>1</v>
      </c>
      <c r="P54" s="249">
        <v>3</v>
      </c>
      <c r="Q54" s="277"/>
      <c r="R54" s="298" t="s">
        <v>178</v>
      </c>
      <c r="S54" s="299" t="s">
        <v>618</v>
      </c>
      <c r="T54" s="299" t="s">
        <v>636</v>
      </c>
      <c r="U54" s="299" t="s">
        <v>621</v>
      </c>
      <c r="V54" s="288" t="s">
        <v>435</v>
      </c>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row>
    <row r="55" spans="1:46" ht="313.5" x14ac:dyDescent="0.25">
      <c r="A55" s="401"/>
      <c r="B55" s="24" t="s">
        <v>179</v>
      </c>
      <c r="C55" s="23" t="s">
        <v>180</v>
      </c>
      <c r="D55" s="21" t="s">
        <v>181</v>
      </c>
      <c r="E55" s="246" t="s">
        <v>546</v>
      </c>
      <c r="F55" s="247"/>
      <c r="G55" s="248">
        <v>3</v>
      </c>
      <c r="H55" s="249">
        <v>4</v>
      </c>
      <c r="I55" s="250"/>
      <c r="J55" s="247"/>
      <c r="K55" s="248">
        <v>3</v>
      </c>
      <c r="L55" s="249">
        <v>4</v>
      </c>
      <c r="M55" s="250"/>
      <c r="N55" s="247"/>
      <c r="O55" s="248">
        <v>3</v>
      </c>
      <c r="P55" s="249">
        <v>4</v>
      </c>
      <c r="Q55" s="277"/>
      <c r="R55" s="298" t="s">
        <v>182</v>
      </c>
      <c r="S55" s="299" t="s">
        <v>618</v>
      </c>
      <c r="T55" s="299" t="s">
        <v>619</v>
      </c>
      <c r="U55" s="299" t="s">
        <v>621</v>
      </c>
      <c r="V55" s="288" t="s">
        <v>436</v>
      </c>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row>
    <row r="56" spans="1:46" ht="165" x14ac:dyDescent="0.25">
      <c r="A56" s="401"/>
      <c r="B56" s="150" t="s">
        <v>183</v>
      </c>
      <c r="C56" s="151" t="s">
        <v>184</v>
      </c>
      <c r="D56" s="140" t="s">
        <v>185</v>
      </c>
      <c r="E56" s="255" t="s">
        <v>545</v>
      </c>
      <c r="F56" s="256"/>
      <c r="G56" s="257">
        <v>4</v>
      </c>
      <c r="H56" s="258">
        <v>3</v>
      </c>
      <c r="I56" s="259"/>
      <c r="J56" s="256"/>
      <c r="K56" s="257">
        <v>4</v>
      </c>
      <c r="L56" s="258">
        <v>3</v>
      </c>
      <c r="M56" s="259"/>
      <c r="N56" s="256"/>
      <c r="O56" s="257">
        <v>4</v>
      </c>
      <c r="P56" s="258">
        <v>3</v>
      </c>
      <c r="Q56" s="279"/>
      <c r="R56" s="300" t="s">
        <v>186</v>
      </c>
      <c r="S56" s="301" t="s">
        <v>630</v>
      </c>
      <c r="T56" s="301" t="s">
        <v>619</v>
      </c>
      <c r="U56" s="301" t="s">
        <v>637</v>
      </c>
      <c r="V56" s="290" t="s">
        <v>437</v>
      </c>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row>
    <row r="57" spans="1:46" ht="20.100000000000001" customHeight="1" thickBot="1" x14ac:dyDescent="0.3">
      <c r="A57" s="402"/>
      <c r="B57" s="399" t="s">
        <v>607</v>
      </c>
      <c r="C57" s="399"/>
      <c r="D57" s="399"/>
      <c r="E57" s="146"/>
      <c r="F57" s="147"/>
      <c r="G57" s="148">
        <f>IF(COUNT(G49:G56)&lt;&gt;0,SUM(G49:G56)/COUNT(G49:G56),"")</f>
        <v>2.75</v>
      </c>
      <c r="H57" s="148">
        <f>IF(COUNT(H49:H56)&lt;&gt;0,SUM(H49:H56)/COUNT(H49:H56),"")</f>
        <v>3.625</v>
      </c>
      <c r="I57" s="149"/>
      <c r="J57" s="147"/>
      <c r="K57" s="148">
        <f>IF(COUNT(K49:K56)&lt;&gt;0,SUM(K49:K56)/COUNT(K49:K56),"")</f>
        <v>2.125</v>
      </c>
      <c r="L57" s="148">
        <f>IF(COUNT(L49:L56)&lt;&gt;0,SUM(L49:L56)/COUNT(L49:L56),"")</f>
        <v>3.5</v>
      </c>
      <c r="M57" s="149"/>
      <c r="N57" s="147"/>
      <c r="O57" s="148">
        <f>IF(COUNT(O49:O56)&lt;&gt;0,SUM(O49:O56)/COUNT(O49:O56),"")</f>
        <v>2</v>
      </c>
      <c r="P57" s="148">
        <f>IF(COUNT(P49:P56)&lt;&gt;0,SUM(P49:P56)/COUNT(P49:P56),"")</f>
        <v>3.5</v>
      </c>
      <c r="Q57" s="282"/>
      <c r="R57" s="306"/>
      <c r="S57" s="307"/>
      <c r="T57" s="307"/>
      <c r="U57" s="307"/>
      <c r="V57" s="29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row>
    <row r="58" spans="1:46" ht="74.25" customHeight="1" x14ac:dyDescent="0.25">
      <c r="A58" s="404" t="s">
        <v>187</v>
      </c>
      <c r="B58" s="42" t="s">
        <v>188</v>
      </c>
      <c r="C58" s="41" t="s">
        <v>189</v>
      </c>
      <c r="D58" s="40" t="s">
        <v>190</v>
      </c>
      <c r="E58" s="260" t="s">
        <v>546</v>
      </c>
      <c r="F58" s="261"/>
      <c r="G58" s="262">
        <v>1</v>
      </c>
      <c r="H58" s="263">
        <v>3</v>
      </c>
      <c r="I58" s="264"/>
      <c r="J58" s="261"/>
      <c r="K58" s="262">
        <v>1</v>
      </c>
      <c r="L58" s="263">
        <v>3</v>
      </c>
      <c r="M58" s="264"/>
      <c r="N58" s="261"/>
      <c r="O58" s="262">
        <v>1</v>
      </c>
      <c r="P58" s="263">
        <v>3</v>
      </c>
      <c r="Q58" s="281"/>
      <c r="R58" s="304" t="s">
        <v>191</v>
      </c>
      <c r="S58" s="305" t="s">
        <v>618</v>
      </c>
      <c r="T58" s="305" t="s">
        <v>619</v>
      </c>
      <c r="U58" s="305" t="s">
        <v>621</v>
      </c>
      <c r="V58" s="292" t="s">
        <v>438</v>
      </c>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row>
    <row r="59" spans="1:46" ht="330" x14ac:dyDescent="0.25">
      <c r="A59" s="405"/>
      <c r="B59" s="25" t="s">
        <v>192</v>
      </c>
      <c r="C59" s="23" t="s">
        <v>193</v>
      </c>
      <c r="D59" s="21" t="s">
        <v>194</v>
      </c>
      <c r="E59" s="246" t="s">
        <v>546</v>
      </c>
      <c r="F59" s="247"/>
      <c r="G59" s="248">
        <v>2</v>
      </c>
      <c r="H59" s="249">
        <v>4</v>
      </c>
      <c r="I59" s="250"/>
      <c r="J59" s="247"/>
      <c r="K59" s="248">
        <v>2</v>
      </c>
      <c r="L59" s="249">
        <v>4</v>
      </c>
      <c r="M59" s="250"/>
      <c r="N59" s="247"/>
      <c r="O59" s="248">
        <v>2</v>
      </c>
      <c r="P59" s="249">
        <v>4</v>
      </c>
      <c r="Q59" s="277"/>
      <c r="R59" s="298" t="s">
        <v>195</v>
      </c>
      <c r="S59" s="299" t="s">
        <v>618</v>
      </c>
      <c r="T59" s="299" t="s">
        <v>619</v>
      </c>
      <c r="U59" s="299" t="s">
        <v>621</v>
      </c>
      <c r="V59" s="288" t="s">
        <v>439</v>
      </c>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row>
    <row r="60" spans="1:46" ht="76.5" x14ac:dyDescent="0.25">
      <c r="A60" s="405"/>
      <c r="B60" s="25" t="s">
        <v>196</v>
      </c>
      <c r="C60" s="23" t="s">
        <v>197</v>
      </c>
      <c r="D60" s="21" t="s">
        <v>198</v>
      </c>
      <c r="E60" s="246" t="s">
        <v>545</v>
      </c>
      <c r="F60" s="247"/>
      <c r="G60" s="248">
        <v>3</v>
      </c>
      <c r="H60" s="249">
        <v>3</v>
      </c>
      <c r="I60" s="250"/>
      <c r="J60" s="247"/>
      <c r="K60" s="248">
        <v>3</v>
      </c>
      <c r="L60" s="249">
        <v>3</v>
      </c>
      <c r="M60" s="250"/>
      <c r="N60" s="247"/>
      <c r="O60" s="248">
        <v>3</v>
      </c>
      <c r="P60" s="249">
        <v>3</v>
      </c>
      <c r="Q60" s="277"/>
      <c r="R60" s="298" t="s">
        <v>199</v>
      </c>
      <c r="S60" s="299" t="s">
        <v>618</v>
      </c>
      <c r="T60" s="299" t="s">
        <v>619</v>
      </c>
      <c r="U60" s="299" t="s">
        <v>621</v>
      </c>
      <c r="V60" s="288" t="s">
        <v>440</v>
      </c>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row>
    <row r="61" spans="1:46" ht="173.25" x14ac:dyDescent="0.25">
      <c r="A61" s="405"/>
      <c r="B61" s="25" t="s">
        <v>200</v>
      </c>
      <c r="C61" s="23" t="s">
        <v>201</v>
      </c>
      <c r="D61" s="21" t="s">
        <v>202</v>
      </c>
      <c r="E61" s="246" t="s">
        <v>546</v>
      </c>
      <c r="F61" s="247"/>
      <c r="G61" s="248">
        <v>4</v>
      </c>
      <c r="H61" s="249">
        <v>4</v>
      </c>
      <c r="I61" s="250"/>
      <c r="J61" s="247"/>
      <c r="K61" s="248">
        <v>3</v>
      </c>
      <c r="L61" s="249">
        <v>4</v>
      </c>
      <c r="M61" s="250"/>
      <c r="N61" s="247"/>
      <c r="O61" s="248">
        <v>1</v>
      </c>
      <c r="P61" s="249">
        <v>4</v>
      </c>
      <c r="Q61" s="277"/>
      <c r="R61" s="298" t="s">
        <v>203</v>
      </c>
      <c r="S61" s="299" t="s">
        <v>638</v>
      </c>
      <c r="T61" s="299" t="s">
        <v>619</v>
      </c>
      <c r="U61" s="299" t="s">
        <v>639</v>
      </c>
      <c r="V61" s="288" t="s">
        <v>441</v>
      </c>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row>
    <row r="62" spans="1:46" ht="132" x14ac:dyDescent="0.25">
      <c r="A62" s="405"/>
      <c r="B62" s="25" t="s">
        <v>204</v>
      </c>
      <c r="C62" s="23" t="s">
        <v>205</v>
      </c>
      <c r="D62" s="21" t="s">
        <v>206</v>
      </c>
      <c r="E62" s="246" t="s">
        <v>546</v>
      </c>
      <c r="F62" s="247"/>
      <c r="G62" s="248">
        <v>1</v>
      </c>
      <c r="H62" s="249">
        <v>3</v>
      </c>
      <c r="I62" s="250"/>
      <c r="J62" s="247"/>
      <c r="K62" s="248">
        <v>3</v>
      </c>
      <c r="L62" s="249">
        <v>3</v>
      </c>
      <c r="M62" s="250"/>
      <c r="N62" s="247"/>
      <c r="O62" s="248">
        <v>2</v>
      </c>
      <c r="P62" s="249">
        <v>3</v>
      </c>
      <c r="Q62" s="277"/>
      <c r="R62" s="298" t="s">
        <v>207</v>
      </c>
      <c r="S62" s="299" t="s">
        <v>618</v>
      </c>
      <c r="T62" s="299" t="s">
        <v>619</v>
      </c>
      <c r="U62" s="299" t="s">
        <v>621</v>
      </c>
      <c r="V62" s="288" t="s">
        <v>442</v>
      </c>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row>
    <row r="63" spans="1:46" ht="66" x14ac:dyDescent="0.25">
      <c r="A63" s="405"/>
      <c r="B63" s="25" t="s">
        <v>208</v>
      </c>
      <c r="C63" s="23" t="s">
        <v>209</v>
      </c>
      <c r="D63" s="21" t="s">
        <v>210</v>
      </c>
      <c r="E63" s="246" t="s">
        <v>545</v>
      </c>
      <c r="F63" s="247"/>
      <c r="G63" s="248">
        <v>1</v>
      </c>
      <c r="H63" s="249">
        <v>4</v>
      </c>
      <c r="I63" s="250"/>
      <c r="J63" s="247"/>
      <c r="K63" s="248">
        <v>2</v>
      </c>
      <c r="L63" s="249">
        <v>3</v>
      </c>
      <c r="M63" s="250"/>
      <c r="N63" s="247"/>
      <c r="O63" s="248">
        <v>3</v>
      </c>
      <c r="P63" s="249">
        <v>3</v>
      </c>
      <c r="Q63" s="277"/>
      <c r="R63" s="298" t="s">
        <v>211</v>
      </c>
      <c r="S63" s="299" t="s">
        <v>618</v>
      </c>
      <c r="T63" s="299" t="s">
        <v>619</v>
      </c>
      <c r="U63" s="299" t="s">
        <v>621</v>
      </c>
      <c r="V63" s="288" t="s">
        <v>443</v>
      </c>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row>
    <row r="64" spans="1:46" ht="140.25" x14ac:dyDescent="0.25">
      <c r="A64" s="405"/>
      <c r="B64" s="25" t="s">
        <v>212</v>
      </c>
      <c r="C64" s="23" t="s">
        <v>213</v>
      </c>
      <c r="D64" s="21" t="s">
        <v>214</v>
      </c>
      <c r="E64" s="246" t="s">
        <v>546</v>
      </c>
      <c r="F64" s="247"/>
      <c r="G64" s="248">
        <v>4</v>
      </c>
      <c r="H64" s="249">
        <v>4</v>
      </c>
      <c r="I64" s="250"/>
      <c r="J64" s="247"/>
      <c r="K64" s="248">
        <v>3</v>
      </c>
      <c r="L64" s="249">
        <v>3</v>
      </c>
      <c r="M64" s="250"/>
      <c r="N64" s="247"/>
      <c r="O64" s="248">
        <v>2</v>
      </c>
      <c r="P64" s="249">
        <v>2</v>
      </c>
      <c r="Q64" s="277"/>
      <c r="R64" s="298" t="s">
        <v>215</v>
      </c>
      <c r="S64" s="299" t="s">
        <v>618</v>
      </c>
      <c r="T64" s="299" t="s">
        <v>636</v>
      </c>
      <c r="U64" s="299" t="s">
        <v>621</v>
      </c>
      <c r="V64" s="288" t="s">
        <v>444</v>
      </c>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row>
    <row r="65" spans="1:46" ht="107.25" x14ac:dyDescent="0.25">
      <c r="A65" s="405"/>
      <c r="B65" s="25" t="s">
        <v>216</v>
      </c>
      <c r="C65" s="23" t="s">
        <v>217</v>
      </c>
      <c r="D65" s="21" t="s">
        <v>218</v>
      </c>
      <c r="E65" s="246" t="s">
        <v>545</v>
      </c>
      <c r="F65" s="247"/>
      <c r="G65" s="248">
        <v>2</v>
      </c>
      <c r="H65" s="249">
        <v>4</v>
      </c>
      <c r="I65" s="250"/>
      <c r="J65" s="247"/>
      <c r="K65" s="248">
        <v>2</v>
      </c>
      <c r="L65" s="249">
        <v>4</v>
      </c>
      <c r="M65" s="250"/>
      <c r="N65" s="247"/>
      <c r="O65" s="248">
        <v>2</v>
      </c>
      <c r="P65" s="249">
        <v>4</v>
      </c>
      <c r="Q65" s="277"/>
      <c r="R65" s="298" t="s">
        <v>219</v>
      </c>
      <c r="S65" s="299" t="s">
        <v>618</v>
      </c>
      <c r="T65" s="299" t="s">
        <v>619</v>
      </c>
      <c r="U65" s="299" t="s">
        <v>621</v>
      </c>
      <c r="V65" s="288" t="s">
        <v>445</v>
      </c>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row>
    <row r="66" spans="1:46" ht="181.5" x14ac:dyDescent="0.25">
      <c r="A66" s="405"/>
      <c r="B66" s="25" t="s">
        <v>220</v>
      </c>
      <c r="C66" s="23" t="s">
        <v>221</v>
      </c>
      <c r="D66" s="21" t="s">
        <v>222</v>
      </c>
      <c r="E66" s="246" t="s">
        <v>546</v>
      </c>
      <c r="F66" s="247"/>
      <c r="G66" s="248">
        <v>2</v>
      </c>
      <c r="H66" s="249">
        <v>3</v>
      </c>
      <c r="I66" s="250"/>
      <c r="J66" s="247"/>
      <c r="K66" s="248">
        <v>2</v>
      </c>
      <c r="L66" s="249">
        <v>3</v>
      </c>
      <c r="M66" s="250"/>
      <c r="N66" s="247"/>
      <c r="O66" s="248">
        <v>1</v>
      </c>
      <c r="P66" s="249">
        <v>3</v>
      </c>
      <c r="Q66" s="277"/>
      <c r="R66" s="298" t="s">
        <v>223</v>
      </c>
      <c r="S66" s="299" t="s">
        <v>618</v>
      </c>
      <c r="T66" s="299" t="s">
        <v>619</v>
      </c>
      <c r="U66" s="299" t="s">
        <v>621</v>
      </c>
      <c r="V66" s="288" t="s">
        <v>446</v>
      </c>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row>
    <row r="67" spans="1:46" ht="231" x14ac:dyDescent="0.25">
      <c r="A67" s="405"/>
      <c r="B67" s="25" t="s">
        <v>224</v>
      </c>
      <c r="C67" s="23" t="s">
        <v>225</v>
      </c>
      <c r="D67" s="21" t="s">
        <v>226</v>
      </c>
      <c r="E67" s="246" t="s">
        <v>546</v>
      </c>
      <c r="F67" s="247"/>
      <c r="G67" s="248">
        <v>2</v>
      </c>
      <c r="H67" s="249">
        <v>4</v>
      </c>
      <c r="I67" s="250"/>
      <c r="J67" s="247"/>
      <c r="K67" s="248">
        <v>2</v>
      </c>
      <c r="L67" s="249">
        <v>4</v>
      </c>
      <c r="M67" s="250"/>
      <c r="N67" s="247"/>
      <c r="O67" s="248">
        <v>1</v>
      </c>
      <c r="P67" s="249">
        <v>4</v>
      </c>
      <c r="Q67" s="277"/>
      <c r="R67" s="298" t="s">
        <v>227</v>
      </c>
      <c r="S67" s="299" t="s">
        <v>618</v>
      </c>
      <c r="T67" s="299" t="s">
        <v>619</v>
      </c>
      <c r="U67" s="299" t="s">
        <v>621</v>
      </c>
      <c r="V67" s="288" t="s">
        <v>447</v>
      </c>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row>
    <row r="68" spans="1:46" ht="107.25" x14ac:dyDescent="0.25">
      <c r="A68" s="405"/>
      <c r="B68" s="25" t="s">
        <v>228</v>
      </c>
      <c r="C68" s="23" t="s">
        <v>229</v>
      </c>
      <c r="D68" s="21" t="s">
        <v>230</v>
      </c>
      <c r="E68" s="246" t="s">
        <v>546</v>
      </c>
      <c r="F68" s="247"/>
      <c r="G68" s="248">
        <v>3</v>
      </c>
      <c r="H68" s="249">
        <v>2</v>
      </c>
      <c r="I68" s="250"/>
      <c r="J68" s="247"/>
      <c r="K68" s="248">
        <v>2</v>
      </c>
      <c r="L68" s="249">
        <v>2</v>
      </c>
      <c r="M68" s="250"/>
      <c r="N68" s="247"/>
      <c r="O68" s="248">
        <v>2</v>
      </c>
      <c r="P68" s="249">
        <v>1</v>
      </c>
      <c r="Q68" s="277"/>
      <c r="R68" s="298" t="s">
        <v>231</v>
      </c>
      <c r="S68" s="299" t="s">
        <v>638</v>
      </c>
      <c r="T68" s="299" t="s">
        <v>640</v>
      </c>
      <c r="U68" s="299" t="s">
        <v>639</v>
      </c>
      <c r="V68" s="288" t="s">
        <v>448</v>
      </c>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row>
    <row r="69" spans="1:46" ht="140.25" x14ac:dyDescent="0.25">
      <c r="A69" s="405"/>
      <c r="B69" s="25" t="s">
        <v>232</v>
      </c>
      <c r="C69" s="23" t="s">
        <v>233</v>
      </c>
      <c r="D69" s="21" t="s">
        <v>234</v>
      </c>
      <c r="E69" s="246" t="s">
        <v>544</v>
      </c>
      <c r="F69" s="247"/>
      <c r="G69" s="248">
        <v>4</v>
      </c>
      <c r="H69" s="249">
        <v>4</v>
      </c>
      <c r="I69" s="250"/>
      <c r="J69" s="247"/>
      <c r="K69" s="248">
        <v>3</v>
      </c>
      <c r="L69" s="249">
        <v>3</v>
      </c>
      <c r="M69" s="250"/>
      <c r="N69" s="247"/>
      <c r="O69" s="248">
        <v>3</v>
      </c>
      <c r="P69" s="249">
        <v>2</v>
      </c>
      <c r="Q69" s="277"/>
      <c r="R69" s="298" t="s">
        <v>235</v>
      </c>
      <c r="S69" s="299" t="s">
        <v>618</v>
      </c>
      <c r="T69" s="299" t="s">
        <v>627</v>
      </c>
      <c r="U69" s="299" t="s">
        <v>621</v>
      </c>
      <c r="V69" s="288" t="s">
        <v>449</v>
      </c>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row>
    <row r="70" spans="1:46" ht="115.5" x14ac:dyDescent="0.25">
      <c r="A70" s="405"/>
      <c r="B70" s="25" t="s">
        <v>236</v>
      </c>
      <c r="C70" s="23" t="s">
        <v>237</v>
      </c>
      <c r="D70" s="21" t="s">
        <v>238</v>
      </c>
      <c r="E70" s="246" t="s">
        <v>546</v>
      </c>
      <c r="F70" s="247"/>
      <c r="G70" s="248">
        <v>2</v>
      </c>
      <c r="H70" s="249">
        <v>3</v>
      </c>
      <c r="I70" s="250"/>
      <c r="J70" s="247"/>
      <c r="K70" s="248">
        <v>1</v>
      </c>
      <c r="L70" s="249">
        <v>2</v>
      </c>
      <c r="M70" s="250"/>
      <c r="N70" s="247"/>
      <c r="O70" s="248">
        <v>2</v>
      </c>
      <c r="P70" s="249">
        <v>2</v>
      </c>
      <c r="Q70" s="277"/>
      <c r="R70" s="298" t="s">
        <v>239</v>
      </c>
      <c r="S70" s="299" t="s">
        <v>618</v>
      </c>
      <c r="T70" s="299" t="s">
        <v>619</v>
      </c>
      <c r="U70" s="299" t="s">
        <v>621</v>
      </c>
      <c r="V70" s="288" t="s">
        <v>450</v>
      </c>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row>
    <row r="71" spans="1:46" ht="107.25" x14ac:dyDescent="0.25">
      <c r="A71" s="405"/>
      <c r="B71" s="156" t="s">
        <v>240</v>
      </c>
      <c r="C71" s="151" t="s">
        <v>241</v>
      </c>
      <c r="D71" s="140" t="s">
        <v>242</v>
      </c>
      <c r="E71" s="255" t="s">
        <v>545</v>
      </c>
      <c r="F71" s="256"/>
      <c r="G71" s="257">
        <v>2</v>
      </c>
      <c r="H71" s="258">
        <v>4</v>
      </c>
      <c r="I71" s="259"/>
      <c r="J71" s="256"/>
      <c r="K71" s="257">
        <v>1</v>
      </c>
      <c r="L71" s="258">
        <v>3</v>
      </c>
      <c r="M71" s="259"/>
      <c r="N71" s="256"/>
      <c r="O71" s="257">
        <v>2</v>
      </c>
      <c r="P71" s="258">
        <v>2</v>
      </c>
      <c r="Q71" s="279"/>
      <c r="R71" s="300" t="s">
        <v>243</v>
      </c>
      <c r="S71" s="301" t="s">
        <v>618</v>
      </c>
      <c r="T71" s="301" t="s">
        <v>636</v>
      </c>
      <c r="U71" s="301" t="s">
        <v>621</v>
      </c>
      <c r="V71" s="290" t="s">
        <v>451</v>
      </c>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row>
    <row r="72" spans="1:46" ht="20.100000000000001" customHeight="1" thickBot="1" x14ac:dyDescent="0.3">
      <c r="A72" s="406"/>
      <c r="B72" s="403" t="s">
        <v>608</v>
      </c>
      <c r="C72" s="403"/>
      <c r="D72" s="403"/>
      <c r="E72" s="152"/>
      <c r="F72" s="153"/>
      <c r="G72" s="154">
        <f>IF(COUNT(G58:G71)&lt;&gt;0,SUM(G58:G71)/COUNT(G58:G71),"")</f>
        <v>2.3571428571428572</v>
      </c>
      <c r="H72" s="154">
        <f>IF(COUNT(H58:H71)&lt;&gt;0,SUM(H58:H71)/COUNT(H58:H71),"")</f>
        <v>3.5</v>
      </c>
      <c r="I72" s="155"/>
      <c r="J72" s="153"/>
      <c r="K72" s="154">
        <f>IF(COUNT(K58:K71)&lt;&gt;0,SUM(K58:K71)/COUNT(K58:K71),"")</f>
        <v>2.1428571428571428</v>
      </c>
      <c r="L72" s="154">
        <f>IF(COUNT(L58:L71)&lt;&gt;0,SUM(L58:L71)/COUNT(L58:L71),"")</f>
        <v>3.1428571428571428</v>
      </c>
      <c r="M72" s="155"/>
      <c r="N72" s="153"/>
      <c r="O72" s="154">
        <f>IF(COUNT(O58:O71)&lt;&gt;0,SUM(O58:O71)/COUNT(O58:O71),"")</f>
        <v>1.9285714285714286</v>
      </c>
      <c r="P72" s="154">
        <f>IF(COUNT(P58:P71)&lt;&gt;0,SUM(P58:P71)/COUNT(P58:P71),"")</f>
        <v>2.8571428571428572</v>
      </c>
      <c r="Q72" s="283"/>
      <c r="R72" s="308"/>
      <c r="S72" s="309"/>
      <c r="T72" s="309"/>
      <c r="U72" s="309"/>
      <c r="V72" s="294"/>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row>
    <row r="73" spans="1:46" ht="409.5" x14ac:dyDescent="0.25">
      <c r="A73" s="384" t="s">
        <v>244</v>
      </c>
      <c r="B73" s="182" t="s">
        <v>245</v>
      </c>
      <c r="C73" s="41" t="s">
        <v>246</v>
      </c>
      <c r="D73" s="40" t="s">
        <v>247</v>
      </c>
      <c r="E73" s="260" t="s">
        <v>546</v>
      </c>
      <c r="F73" s="261"/>
      <c r="G73" s="262">
        <v>1</v>
      </c>
      <c r="H73" s="263">
        <v>4</v>
      </c>
      <c r="I73" s="264"/>
      <c r="J73" s="261"/>
      <c r="K73" s="262">
        <v>1</v>
      </c>
      <c r="L73" s="263">
        <v>4</v>
      </c>
      <c r="M73" s="264"/>
      <c r="N73" s="261"/>
      <c r="O73" s="262">
        <v>1</v>
      </c>
      <c r="P73" s="263">
        <v>4</v>
      </c>
      <c r="Q73" s="281"/>
      <c r="R73" s="304" t="s">
        <v>248</v>
      </c>
      <c r="S73" s="305" t="s">
        <v>618</v>
      </c>
      <c r="T73" s="305" t="s">
        <v>619</v>
      </c>
      <c r="U73" s="305" t="s">
        <v>621</v>
      </c>
      <c r="V73" s="292" t="s">
        <v>452</v>
      </c>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row>
    <row r="74" spans="1:46" ht="189.75" x14ac:dyDescent="0.25">
      <c r="A74" s="385"/>
      <c r="B74" s="183" t="s">
        <v>249</v>
      </c>
      <c r="C74" s="23" t="s">
        <v>250</v>
      </c>
      <c r="D74" s="21" t="s">
        <v>251</v>
      </c>
      <c r="E74" s="246" t="s">
        <v>546</v>
      </c>
      <c r="F74" s="247"/>
      <c r="G74" s="248">
        <v>2</v>
      </c>
      <c r="H74" s="249">
        <v>3</v>
      </c>
      <c r="I74" s="250"/>
      <c r="J74" s="247"/>
      <c r="K74" s="248">
        <v>1</v>
      </c>
      <c r="L74" s="249">
        <v>3</v>
      </c>
      <c r="M74" s="250"/>
      <c r="N74" s="247"/>
      <c r="O74" s="248">
        <v>1</v>
      </c>
      <c r="P74" s="249">
        <v>3</v>
      </c>
      <c r="Q74" s="277"/>
      <c r="R74" s="298" t="s">
        <v>252</v>
      </c>
      <c r="S74" s="299" t="s">
        <v>618</v>
      </c>
      <c r="T74" s="299" t="s">
        <v>619</v>
      </c>
      <c r="U74" s="299" t="s">
        <v>621</v>
      </c>
      <c r="V74" s="288" t="s">
        <v>453</v>
      </c>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row>
    <row r="75" spans="1:46" ht="255.75" x14ac:dyDescent="0.25">
      <c r="A75" s="385"/>
      <c r="B75" s="183" t="s">
        <v>253</v>
      </c>
      <c r="C75" s="23" t="s">
        <v>254</v>
      </c>
      <c r="D75" s="21" t="s">
        <v>255</v>
      </c>
      <c r="E75" s="246" t="s">
        <v>545</v>
      </c>
      <c r="F75" s="247"/>
      <c r="G75" s="248">
        <v>3</v>
      </c>
      <c r="H75" s="249">
        <v>4</v>
      </c>
      <c r="I75" s="250"/>
      <c r="J75" s="247"/>
      <c r="K75" s="248">
        <v>3</v>
      </c>
      <c r="L75" s="249">
        <v>3</v>
      </c>
      <c r="M75" s="250"/>
      <c r="N75" s="247"/>
      <c r="O75" s="248">
        <v>3</v>
      </c>
      <c r="P75" s="249">
        <v>3</v>
      </c>
      <c r="Q75" s="277"/>
      <c r="R75" s="298" t="s">
        <v>256</v>
      </c>
      <c r="S75" s="299" t="s">
        <v>618</v>
      </c>
      <c r="T75" s="299" t="s">
        <v>619</v>
      </c>
      <c r="U75" s="299" t="s">
        <v>621</v>
      </c>
      <c r="V75" s="288" t="s">
        <v>454</v>
      </c>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row>
    <row r="76" spans="1:46" ht="156.75" x14ac:dyDescent="0.25">
      <c r="A76" s="385"/>
      <c r="B76" s="183" t="s">
        <v>257</v>
      </c>
      <c r="C76" s="23" t="s">
        <v>258</v>
      </c>
      <c r="D76" s="21" t="s">
        <v>259</v>
      </c>
      <c r="E76" s="246" t="s">
        <v>545</v>
      </c>
      <c r="F76" s="247"/>
      <c r="G76" s="248">
        <v>2</v>
      </c>
      <c r="H76" s="252">
        <v>3</v>
      </c>
      <c r="I76" s="265"/>
      <c r="J76" s="247"/>
      <c r="K76" s="248">
        <v>2</v>
      </c>
      <c r="L76" s="252">
        <v>2</v>
      </c>
      <c r="M76" s="250"/>
      <c r="N76" s="247"/>
      <c r="O76" s="248">
        <v>2</v>
      </c>
      <c r="P76" s="252">
        <v>2</v>
      </c>
      <c r="Q76" s="284"/>
      <c r="R76" s="298" t="s">
        <v>260</v>
      </c>
      <c r="S76" s="299" t="s">
        <v>618</v>
      </c>
      <c r="T76" s="299" t="s">
        <v>619</v>
      </c>
      <c r="U76" s="299" t="s">
        <v>621</v>
      </c>
      <c r="V76" s="288" t="s">
        <v>455</v>
      </c>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row>
    <row r="77" spans="1:46" ht="280.5" x14ac:dyDescent="0.25">
      <c r="A77" s="385"/>
      <c r="B77" s="183" t="s">
        <v>261</v>
      </c>
      <c r="C77" s="23" t="s">
        <v>262</v>
      </c>
      <c r="D77" s="21" t="s">
        <v>263</v>
      </c>
      <c r="E77" s="246" t="s">
        <v>546</v>
      </c>
      <c r="F77" s="247"/>
      <c r="G77" s="248">
        <v>3</v>
      </c>
      <c r="H77" s="249">
        <v>4</v>
      </c>
      <c r="I77" s="250"/>
      <c r="J77" s="247"/>
      <c r="K77" s="248">
        <v>2</v>
      </c>
      <c r="L77" s="249">
        <v>3</v>
      </c>
      <c r="M77" s="250"/>
      <c r="N77" s="247"/>
      <c r="O77" s="248">
        <v>3</v>
      </c>
      <c r="P77" s="249">
        <v>3</v>
      </c>
      <c r="Q77" s="277"/>
      <c r="R77" s="298" t="s">
        <v>264</v>
      </c>
      <c r="S77" s="299" t="s">
        <v>618</v>
      </c>
      <c r="T77" s="299" t="s">
        <v>619</v>
      </c>
      <c r="U77" s="299" t="s">
        <v>621</v>
      </c>
      <c r="V77" s="288" t="s">
        <v>456</v>
      </c>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row>
    <row r="78" spans="1:46" ht="247.5" x14ac:dyDescent="0.25">
      <c r="A78" s="385"/>
      <c r="B78" s="183" t="s">
        <v>265</v>
      </c>
      <c r="C78" s="23" t="s">
        <v>266</v>
      </c>
      <c r="D78" s="21" t="s">
        <v>267</v>
      </c>
      <c r="E78" s="246" t="s">
        <v>545</v>
      </c>
      <c r="F78" s="247"/>
      <c r="G78" s="248">
        <v>4</v>
      </c>
      <c r="H78" s="249">
        <v>3</v>
      </c>
      <c r="I78" s="250"/>
      <c r="J78" s="247"/>
      <c r="K78" s="248">
        <v>1</v>
      </c>
      <c r="L78" s="249">
        <v>2</v>
      </c>
      <c r="M78" s="250"/>
      <c r="N78" s="247"/>
      <c r="O78" s="248">
        <v>1</v>
      </c>
      <c r="P78" s="249">
        <v>2</v>
      </c>
      <c r="Q78" s="277"/>
      <c r="R78" s="298" t="s">
        <v>268</v>
      </c>
      <c r="S78" s="299" t="s">
        <v>638</v>
      </c>
      <c r="T78" s="299" t="s">
        <v>640</v>
      </c>
      <c r="U78" s="299" t="s">
        <v>644</v>
      </c>
      <c r="V78" s="288" t="s">
        <v>457</v>
      </c>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row>
    <row r="79" spans="1:46" ht="247.5" x14ac:dyDescent="0.25">
      <c r="A79" s="385"/>
      <c r="B79" s="183" t="s">
        <v>269</v>
      </c>
      <c r="C79" s="23" t="s">
        <v>270</v>
      </c>
      <c r="D79" s="21" t="s">
        <v>271</v>
      </c>
      <c r="E79" s="246" t="s">
        <v>546</v>
      </c>
      <c r="F79" s="247"/>
      <c r="G79" s="248">
        <v>2</v>
      </c>
      <c r="H79" s="249">
        <v>4</v>
      </c>
      <c r="I79" s="250"/>
      <c r="J79" s="247"/>
      <c r="K79" s="248">
        <v>2</v>
      </c>
      <c r="L79" s="249">
        <v>3</v>
      </c>
      <c r="M79" s="250"/>
      <c r="N79" s="247"/>
      <c r="O79" s="248">
        <v>2</v>
      </c>
      <c r="P79" s="249">
        <v>2</v>
      </c>
      <c r="Q79" s="277"/>
      <c r="R79" s="298" t="s">
        <v>272</v>
      </c>
      <c r="S79" s="299" t="s">
        <v>624</v>
      </c>
      <c r="T79" s="299" t="s">
        <v>619</v>
      </c>
      <c r="U79" s="299" t="s">
        <v>639</v>
      </c>
      <c r="V79" s="288" t="s">
        <v>458</v>
      </c>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row>
    <row r="80" spans="1:46" ht="409.5" x14ac:dyDescent="0.25">
      <c r="A80" s="385"/>
      <c r="B80" s="183" t="s">
        <v>273</v>
      </c>
      <c r="C80" s="23" t="s">
        <v>274</v>
      </c>
      <c r="D80" s="21" t="s">
        <v>275</v>
      </c>
      <c r="E80" s="246" t="s">
        <v>546</v>
      </c>
      <c r="F80" s="247"/>
      <c r="G80" s="248">
        <v>4</v>
      </c>
      <c r="H80" s="249">
        <v>3</v>
      </c>
      <c r="I80" s="250"/>
      <c r="J80" s="247"/>
      <c r="K80" s="248">
        <v>4</v>
      </c>
      <c r="L80" s="249">
        <v>3</v>
      </c>
      <c r="M80" s="250"/>
      <c r="N80" s="247"/>
      <c r="O80" s="248">
        <v>4</v>
      </c>
      <c r="P80" s="249">
        <v>3</v>
      </c>
      <c r="Q80" s="277"/>
      <c r="R80" s="298" t="s">
        <v>276</v>
      </c>
      <c r="S80" s="299" t="s">
        <v>618</v>
      </c>
      <c r="T80" s="299" t="s">
        <v>619</v>
      </c>
      <c r="U80" s="299" t="s">
        <v>626</v>
      </c>
      <c r="V80" s="288" t="s">
        <v>459</v>
      </c>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row>
    <row r="81" spans="1:46" ht="338.25" x14ac:dyDescent="0.25">
      <c r="A81" s="385"/>
      <c r="B81" s="183" t="s">
        <v>277</v>
      </c>
      <c r="C81" s="23" t="s">
        <v>278</v>
      </c>
      <c r="D81" s="21" t="s">
        <v>279</v>
      </c>
      <c r="E81" s="246" t="s">
        <v>545</v>
      </c>
      <c r="F81" s="247"/>
      <c r="G81" s="248">
        <v>1</v>
      </c>
      <c r="H81" s="249">
        <v>4</v>
      </c>
      <c r="I81" s="250"/>
      <c r="J81" s="247"/>
      <c r="K81" s="248">
        <v>1</v>
      </c>
      <c r="L81" s="249">
        <v>4</v>
      </c>
      <c r="M81" s="250"/>
      <c r="N81" s="247"/>
      <c r="O81" s="248">
        <v>1</v>
      </c>
      <c r="P81" s="249">
        <v>4</v>
      </c>
      <c r="Q81" s="277"/>
      <c r="R81" s="298" t="s">
        <v>280</v>
      </c>
      <c r="S81" s="299" t="s">
        <v>618</v>
      </c>
      <c r="T81" s="299" t="s">
        <v>619</v>
      </c>
      <c r="U81" s="299" t="s">
        <v>621</v>
      </c>
      <c r="V81" s="288" t="s">
        <v>460</v>
      </c>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row>
    <row r="82" spans="1:46" ht="288.75" x14ac:dyDescent="0.25">
      <c r="A82" s="385"/>
      <c r="B82" s="183" t="s">
        <v>281</v>
      </c>
      <c r="C82" s="23" t="s">
        <v>282</v>
      </c>
      <c r="D82" s="21" t="s">
        <v>283</v>
      </c>
      <c r="E82" s="246" t="s">
        <v>545</v>
      </c>
      <c r="F82" s="247"/>
      <c r="G82" s="248">
        <v>1</v>
      </c>
      <c r="H82" s="249">
        <v>3</v>
      </c>
      <c r="I82" s="250"/>
      <c r="J82" s="247"/>
      <c r="K82" s="248">
        <v>1</v>
      </c>
      <c r="L82" s="249">
        <v>2</v>
      </c>
      <c r="M82" s="250"/>
      <c r="N82" s="247"/>
      <c r="O82" s="248">
        <v>1</v>
      </c>
      <c r="P82" s="249">
        <v>1</v>
      </c>
      <c r="Q82" s="277"/>
      <c r="R82" s="298" t="s">
        <v>284</v>
      </c>
      <c r="S82" s="299" t="s">
        <v>618</v>
      </c>
      <c r="T82" s="299" t="s">
        <v>636</v>
      </c>
      <c r="U82" s="299" t="s">
        <v>621</v>
      </c>
      <c r="V82" s="288" t="s">
        <v>461</v>
      </c>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row>
    <row r="83" spans="1:46" ht="247.5" x14ac:dyDescent="0.25">
      <c r="A83" s="385"/>
      <c r="B83" s="183" t="s">
        <v>285</v>
      </c>
      <c r="C83" s="23" t="s">
        <v>286</v>
      </c>
      <c r="D83" s="21" t="s">
        <v>287</v>
      </c>
      <c r="E83" s="246" t="s">
        <v>545</v>
      </c>
      <c r="F83" s="247"/>
      <c r="G83" s="248">
        <v>2</v>
      </c>
      <c r="H83" s="249">
        <v>4</v>
      </c>
      <c r="I83" s="266"/>
      <c r="J83" s="247"/>
      <c r="K83" s="248">
        <v>2</v>
      </c>
      <c r="L83" s="249">
        <v>3</v>
      </c>
      <c r="M83" s="250"/>
      <c r="N83" s="247"/>
      <c r="O83" s="248">
        <v>2</v>
      </c>
      <c r="P83" s="249">
        <v>2</v>
      </c>
      <c r="Q83" s="285"/>
      <c r="R83" s="298" t="s">
        <v>288</v>
      </c>
      <c r="S83" s="299" t="s">
        <v>618</v>
      </c>
      <c r="T83" s="299" t="s">
        <v>636</v>
      </c>
      <c r="U83" s="299" t="s">
        <v>621</v>
      </c>
      <c r="V83" s="288" t="s">
        <v>462</v>
      </c>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row>
    <row r="84" spans="1:46" ht="206.25" x14ac:dyDescent="0.25">
      <c r="A84" s="385"/>
      <c r="B84" s="183" t="s">
        <v>289</v>
      </c>
      <c r="C84" s="23" t="s">
        <v>290</v>
      </c>
      <c r="D84" s="21" t="s">
        <v>291</v>
      </c>
      <c r="E84" s="246" t="s">
        <v>545</v>
      </c>
      <c r="F84" s="247"/>
      <c r="G84" s="248">
        <v>2</v>
      </c>
      <c r="H84" s="249">
        <v>3</v>
      </c>
      <c r="I84" s="250"/>
      <c r="J84" s="247"/>
      <c r="K84" s="248">
        <v>4</v>
      </c>
      <c r="L84" s="249">
        <v>3</v>
      </c>
      <c r="M84" s="250"/>
      <c r="N84" s="247"/>
      <c r="O84" s="248">
        <v>4</v>
      </c>
      <c r="P84" s="249">
        <v>3</v>
      </c>
      <c r="Q84" s="277"/>
      <c r="R84" s="298" t="s">
        <v>292</v>
      </c>
      <c r="S84" s="299" t="s">
        <v>638</v>
      </c>
      <c r="T84" s="299" t="s">
        <v>636</v>
      </c>
      <c r="U84" s="299" t="s">
        <v>639</v>
      </c>
      <c r="V84" s="288" t="s">
        <v>463</v>
      </c>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row>
    <row r="85" spans="1:46" ht="247.5" x14ac:dyDescent="0.25">
      <c r="A85" s="385"/>
      <c r="B85" s="183" t="s">
        <v>293</v>
      </c>
      <c r="C85" s="23" t="s">
        <v>294</v>
      </c>
      <c r="D85" s="21" t="s">
        <v>295</v>
      </c>
      <c r="E85" s="246" t="s">
        <v>546</v>
      </c>
      <c r="F85" s="247"/>
      <c r="G85" s="248">
        <v>1</v>
      </c>
      <c r="H85" s="249">
        <v>4</v>
      </c>
      <c r="I85" s="250"/>
      <c r="J85" s="247"/>
      <c r="K85" s="248">
        <v>1</v>
      </c>
      <c r="L85" s="249">
        <v>2</v>
      </c>
      <c r="M85" s="250"/>
      <c r="N85" s="247"/>
      <c r="O85" s="248">
        <v>2</v>
      </c>
      <c r="P85" s="249">
        <v>1</v>
      </c>
      <c r="Q85" s="277"/>
      <c r="R85" s="298" t="s">
        <v>296</v>
      </c>
      <c r="S85" s="299" t="s">
        <v>628</v>
      </c>
      <c r="T85" s="299" t="s">
        <v>640</v>
      </c>
      <c r="U85" s="299" t="s">
        <v>641</v>
      </c>
      <c r="V85" s="288" t="s">
        <v>464</v>
      </c>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row>
    <row r="86" spans="1:46" ht="165" x14ac:dyDescent="0.25">
      <c r="A86" s="385"/>
      <c r="B86" s="183" t="s">
        <v>297</v>
      </c>
      <c r="C86" s="23" t="s">
        <v>298</v>
      </c>
      <c r="D86" s="21" t="s">
        <v>299</v>
      </c>
      <c r="E86" s="246" t="s">
        <v>546</v>
      </c>
      <c r="F86" s="247"/>
      <c r="G86" s="248">
        <v>2</v>
      </c>
      <c r="H86" s="249">
        <v>3</v>
      </c>
      <c r="I86" s="250"/>
      <c r="J86" s="247"/>
      <c r="K86" s="248">
        <v>2</v>
      </c>
      <c r="L86" s="249">
        <v>3</v>
      </c>
      <c r="M86" s="250"/>
      <c r="N86" s="247"/>
      <c r="O86" s="248">
        <v>2</v>
      </c>
      <c r="P86" s="249">
        <v>3</v>
      </c>
      <c r="Q86" s="277"/>
      <c r="R86" s="298" t="s">
        <v>300</v>
      </c>
      <c r="S86" s="299" t="s">
        <v>618</v>
      </c>
      <c r="T86" s="299" t="s">
        <v>617</v>
      </c>
      <c r="U86" s="299" t="s">
        <v>621</v>
      </c>
      <c r="V86" s="288" t="s">
        <v>465</v>
      </c>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row>
    <row r="87" spans="1:46" ht="409.5" x14ac:dyDescent="0.25">
      <c r="A87" s="385"/>
      <c r="B87" s="183" t="s">
        <v>301</v>
      </c>
      <c r="C87" s="23" t="s">
        <v>302</v>
      </c>
      <c r="D87" s="26" t="s">
        <v>303</v>
      </c>
      <c r="E87" s="246" t="s">
        <v>545</v>
      </c>
      <c r="F87" s="267"/>
      <c r="G87" s="268">
        <v>2</v>
      </c>
      <c r="H87" s="249">
        <v>4</v>
      </c>
      <c r="I87" s="250"/>
      <c r="J87" s="267"/>
      <c r="K87" s="268">
        <v>1</v>
      </c>
      <c r="L87" s="249">
        <v>2</v>
      </c>
      <c r="M87" s="250"/>
      <c r="N87" s="267"/>
      <c r="O87" s="268">
        <v>2</v>
      </c>
      <c r="P87" s="249">
        <v>2</v>
      </c>
      <c r="Q87" s="277"/>
      <c r="R87" s="310" t="s">
        <v>304</v>
      </c>
      <c r="S87" s="299" t="s">
        <v>630</v>
      </c>
      <c r="T87" s="299" t="s">
        <v>619</v>
      </c>
      <c r="U87" s="299" t="s">
        <v>637</v>
      </c>
      <c r="V87" s="289" t="s">
        <v>466</v>
      </c>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row>
    <row r="88" spans="1:46" ht="346.5" x14ac:dyDescent="0.25">
      <c r="A88" s="385"/>
      <c r="B88" s="183" t="s">
        <v>305</v>
      </c>
      <c r="C88" s="23" t="s">
        <v>306</v>
      </c>
      <c r="D88" s="21" t="s">
        <v>307</v>
      </c>
      <c r="E88" s="246" t="s">
        <v>545</v>
      </c>
      <c r="F88" s="247"/>
      <c r="G88" s="248">
        <v>4</v>
      </c>
      <c r="H88" s="249">
        <v>3</v>
      </c>
      <c r="I88" s="250"/>
      <c r="J88" s="247"/>
      <c r="K88" s="248">
        <v>4</v>
      </c>
      <c r="L88" s="249">
        <v>3</v>
      </c>
      <c r="M88" s="250"/>
      <c r="N88" s="247"/>
      <c r="O88" s="248">
        <v>4</v>
      </c>
      <c r="P88" s="249">
        <v>3</v>
      </c>
      <c r="Q88" s="277"/>
      <c r="R88" s="298" t="s">
        <v>308</v>
      </c>
      <c r="S88" s="299" t="s">
        <v>642</v>
      </c>
      <c r="T88" s="299" t="s">
        <v>619</v>
      </c>
      <c r="U88" s="299" t="s">
        <v>631</v>
      </c>
      <c r="V88" s="288" t="s">
        <v>467</v>
      </c>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row>
    <row r="89" spans="1:46" ht="99" x14ac:dyDescent="0.25">
      <c r="A89" s="385"/>
      <c r="B89" s="183" t="s">
        <v>309</v>
      </c>
      <c r="C89" s="23" t="s">
        <v>310</v>
      </c>
      <c r="D89" s="21" t="s">
        <v>311</v>
      </c>
      <c r="E89" s="246" t="s">
        <v>545</v>
      </c>
      <c r="F89" s="247"/>
      <c r="G89" s="248">
        <v>3</v>
      </c>
      <c r="H89" s="249">
        <v>4</v>
      </c>
      <c r="I89" s="250"/>
      <c r="J89" s="247"/>
      <c r="K89" s="248">
        <v>2</v>
      </c>
      <c r="L89" s="249">
        <v>2</v>
      </c>
      <c r="M89" s="250"/>
      <c r="N89" s="247"/>
      <c r="O89" s="248">
        <v>2</v>
      </c>
      <c r="P89" s="249">
        <v>3</v>
      </c>
      <c r="Q89" s="277"/>
      <c r="R89" s="298" t="s">
        <v>312</v>
      </c>
      <c r="S89" s="299" t="s">
        <v>630</v>
      </c>
      <c r="T89" s="299" t="s">
        <v>643</v>
      </c>
      <c r="U89" s="299" t="s">
        <v>639</v>
      </c>
      <c r="V89" s="288" t="s">
        <v>468</v>
      </c>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row>
    <row r="90" spans="1:46" ht="99" x14ac:dyDescent="0.25">
      <c r="A90" s="385"/>
      <c r="B90" s="183" t="s">
        <v>313</v>
      </c>
      <c r="C90" s="23" t="s">
        <v>314</v>
      </c>
      <c r="D90" s="21" t="s">
        <v>315</v>
      </c>
      <c r="E90" s="246" t="s">
        <v>546</v>
      </c>
      <c r="F90" s="247"/>
      <c r="G90" s="248">
        <v>2</v>
      </c>
      <c r="H90" s="249">
        <v>3</v>
      </c>
      <c r="I90" s="250"/>
      <c r="J90" s="247"/>
      <c r="K90" s="248">
        <v>2</v>
      </c>
      <c r="L90" s="249">
        <v>3</v>
      </c>
      <c r="M90" s="250"/>
      <c r="N90" s="247"/>
      <c r="O90" s="248">
        <v>2</v>
      </c>
      <c r="P90" s="249">
        <v>3</v>
      </c>
      <c r="Q90" s="277"/>
      <c r="R90" s="298" t="s">
        <v>316</v>
      </c>
      <c r="S90" s="299" t="s">
        <v>618</v>
      </c>
      <c r="T90" s="299" t="s">
        <v>619</v>
      </c>
      <c r="U90" s="299" t="s">
        <v>621</v>
      </c>
      <c r="V90" s="288" t="s">
        <v>469</v>
      </c>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row>
    <row r="91" spans="1:46" ht="264" x14ac:dyDescent="0.25">
      <c r="A91" s="385"/>
      <c r="B91" s="183" t="s">
        <v>317</v>
      </c>
      <c r="C91" s="23" t="s">
        <v>318</v>
      </c>
      <c r="D91" s="21" t="s">
        <v>319</v>
      </c>
      <c r="E91" s="246" t="s">
        <v>546</v>
      </c>
      <c r="F91" s="247"/>
      <c r="G91" s="248">
        <v>2</v>
      </c>
      <c r="H91" s="249">
        <v>4</v>
      </c>
      <c r="I91" s="250"/>
      <c r="J91" s="247"/>
      <c r="K91" s="248">
        <v>1</v>
      </c>
      <c r="L91" s="249">
        <v>2</v>
      </c>
      <c r="M91" s="250"/>
      <c r="N91" s="247"/>
      <c r="O91" s="248">
        <v>1</v>
      </c>
      <c r="P91" s="249">
        <v>2</v>
      </c>
      <c r="Q91" s="277"/>
      <c r="R91" s="298" t="s">
        <v>320</v>
      </c>
      <c r="S91" s="299" t="s">
        <v>618</v>
      </c>
      <c r="T91" s="299" t="s">
        <v>619</v>
      </c>
      <c r="U91" s="299" t="s">
        <v>621</v>
      </c>
      <c r="V91" s="288" t="s">
        <v>470</v>
      </c>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row>
    <row r="92" spans="1:46" ht="198" x14ac:dyDescent="0.25">
      <c r="A92" s="385"/>
      <c r="B92" s="183" t="s">
        <v>321</v>
      </c>
      <c r="C92" s="23" t="s">
        <v>322</v>
      </c>
      <c r="D92" s="21" t="s">
        <v>323</v>
      </c>
      <c r="E92" s="246" t="s">
        <v>546</v>
      </c>
      <c r="F92" s="247"/>
      <c r="G92" s="248">
        <v>4</v>
      </c>
      <c r="H92" s="249">
        <v>3</v>
      </c>
      <c r="I92" s="250"/>
      <c r="J92" s="247"/>
      <c r="K92" s="248">
        <v>2</v>
      </c>
      <c r="L92" s="249">
        <v>3</v>
      </c>
      <c r="M92" s="250"/>
      <c r="N92" s="247"/>
      <c r="O92" s="248">
        <v>4</v>
      </c>
      <c r="P92" s="249">
        <v>2</v>
      </c>
      <c r="Q92" s="277"/>
      <c r="R92" s="298" t="s">
        <v>324</v>
      </c>
      <c r="S92" s="299" t="s">
        <v>638</v>
      </c>
      <c r="T92" s="299" t="s">
        <v>619</v>
      </c>
      <c r="U92" s="299" t="s">
        <v>639</v>
      </c>
      <c r="V92" s="288" t="s">
        <v>471</v>
      </c>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row>
    <row r="93" spans="1:46" ht="181.5" x14ac:dyDescent="0.25">
      <c r="A93" s="385"/>
      <c r="B93" s="183" t="s">
        <v>325</v>
      </c>
      <c r="C93" s="23" t="s">
        <v>326</v>
      </c>
      <c r="D93" s="21" t="s">
        <v>327</v>
      </c>
      <c r="E93" s="246" t="s">
        <v>546</v>
      </c>
      <c r="F93" s="247"/>
      <c r="G93" s="248">
        <v>3</v>
      </c>
      <c r="H93" s="249">
        <v>4</v>
      </c>
      <c r="I93" s="250"/>
      <c r="J93" s="247"/>
      <c r="K93" s="248">
        <v>2</v>
      </c>
      <c r="L93" s="249">
        <v>4</v>
      </c>
      <c r="M93" s="250"/>
      <c r="N93" s="247"/>
      <c r="O93" s="248">
        <v>1</v>
      </c>
      <c r="P93" s="249">
        <v>2</v>
      </c>
      <c r="Q93" s="277"/>
      <c r="R93" s="298" t="s">
        <v>328</v>
      </c>
      <c r="S93" s="299" t="s">
        <v>618</v>
      </c>
      <c r="T93" s="299" t="s">
        <v>619</v>
      </c>
      <c r="U93" s="299" t="s">
        <v>621</v>
      </c>
      <c r="V93" s="288" t="s">
        <v>472</v>
      </c>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row>
    <row r="94" spans="1:46" ht="132" x14ac:dyDescent="0.25">
      <c r="A94" s="385"/>
      <c r="B94" s="183" t="s">
        <v>329</v>
      </c>
      <c r="C94" s="23" t="s">
        <v>330</v>
      </c>
      <c r="D94" s="21" t="s">
        <v>331</v>
      </c>
      <c r="E94" s="246" t="s">
        <v>546</v>
      </c>
      <c r="F94" s="247"/>
      <c r="G94" s="248">
        <v>1</v>
      </c>
      <c r="H94" s="249">
        <v>3</v>
      </c>
      <c r="I94" s="250"/>
      <c r="J94" s="247"/>
      <c r="K94" s="248">
        <v>2</v>
      </c>
      <c r="L94" s="249">
        <v>2</v>
      </c>
      <c r="M94" s="250"/>
      <c r="N94" s="247"/>
      <c r="O94" s="248">
        <v>1</v>
      </c>
      <c r="P94" s="249">
        <v>1</v>
      </c>
      <c r="Q94" s="277"/>
      <c r="R94" s="298" t="s">
        <v>332</v>
      </c>
      <c r="S94" s="299" t="s">
        <v>618</v>
      </c>
      <c r="T94" s="299" t="s">
        <v>619</v>
      </c>
      <c r="U94" s="299" t="s">
        <v>621</v>
      </c>
      <c r="V94" s="288" t="s">
        <v>473</v>
      </c>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row>
    <row r="95" spans="1:46" ht="140.25" x14ac:dyDescent="0.25">
      <c r="A95" s="385"/>
      <c r="B95" s="183" t="s">
        <v>333</v>
      </c>
      <c r="C95" s="23" t="s">
        <v>334</v>
      </c>
      <c r="D95" s="21" t="s">
        <v>335</v>
      </c>
      <c r="E95" s="246" t="s">
        <v>545</v>
      </c>
      <c r="F95" s="247"/>
      <c r="G95" s="248">
        <v>2</v>
      </c>
      <c r="H95" s="249">
        <v>4</v>
      </c>
      <c r="I95" s="250"/>
      <c r="J95" s="247"/>
      <c r="K95" s="248">
        <v>3</v>
      </c>
      <c r="L95" s="249">
        <v>4</v>
      </c>
      <c r="M95" s="250"/>
      <c r="N95" s="247"/>
      <c r="O95" s="248">
        <v>3</v>
      </c>
      <c r="P95" s="249">
        <v>4</v>
      </c>
      <c r="Q95" s="277"/>
      <c r="R95" s="298" t="s">
        <v>336</v>
      </c>
      <c r="S95" s="299" t="s">
        <v>618</v>
      </c>
      <c r="T95" s="299" t="s">
        <v>619</v>
      </c>
      <c r="U95" s="299" t="s">
        <v>621</v>
      </c>
      <c r="V95" s="288" t="s">
        <v>474</v>
      </c>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row>
    <row r="96" spans="1:46" ht="379.5" x14ac:dyDescent="0.25">
      <c r="A96" s="385"/>
      <c r="B96" s="183" t="s">
        <v>337</v>
      </c>
      <c r="C96" s="23" t="s">
        <v>338</v>
      </c>
      <c r="D96" s="21" t="s">
        <v>339</v>
      </c>
      <c r="E96" s="246" t="s">
        <v>546</v>
      </c>
      <c r="F96" s="247"/>
      <c r="G96" s="248">
        <v>2</v>
      </c>
      <c r="H96" s="249">
        <v>3</v>
      </c>
      <c r="I96" s="250"/>
      <c r="J96" s="247"/>
      <c r="K96" s="248">
        <v>1</v>
      </c>
      <c r="L96" s="249">
        <v>2</v>
      </c>
      <c r="M96" s="250"/>
      <c r="N96" s="247"/>
      <c r="O96" s="248">
        <v>1</v>
      </c>
      <c r="P96" s="249">
        <v>1</v>
      </c>
      <c r="Q96" s="277"/>
      <c r="R96" s="298" t="s">
        <v>340</v>
      </c>
      <c r="S96" s="299" t="s">
        <v>618</v>
      </c>
      <c r="T96" s="299" t="s">
        <v>619</v>
      </c>
      <c r="U96" s="299" t="s">
        <v>621</v>
      </c>
      <c r="V96" s="288" t="s">
        <v>475</v>
      </c>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row>
    <row r="97" spans="1:46" ht="148.5" x14ac:dyDescent="0.25">
      <c r="A97" s="385"/>
      <c r="B97" s="183" t="s">
        <v>341</v>
      </c>
      <c r="C97" s="23" t="s">
        <v>342</v>
      </c>
      <c r="D97" s="21" t="s">
        <v>343</v>
      </c>
      <c r="E97" s="246" t="s">
        <v>545</v>
      </c>
      <c r="F97" s="247"/>
      <c r="G97" s="248">
        <v>1</v>
      </c>
      <c r="H97" s="249">
        <v>4</v>
      </c>
      <c r="I97" s="250"/>
      <c r="J97" s="247"/>
      <c r="K97" s="248">
        <v>1</v>
      </c>
      <c r="L97" s="249">
        <v>4</v>
      </c>
      <c r="M97" s="250"/>
      <c r="N97" s="247"/>
      <c r="O97" s="248">
        <v>1</v>
      </c>
      <c r="P97" s="249">
        <v>4</v>
      </c>
      <c r="Q97" s="277"/>
      <c r="R97" s="298" t="s">
        <v>344</v>
      </c>
      <c r="S97" s="299" t="s">
        <v>618</v>
      </c>
      <c r="T97" s="299" t="s">
        <v>619</v>
      </c>
      <c r="U97" s="299" t="s">
        <v>621</v>
      </c>
      <c r="V97" s="288" t="s">
        <v>476</v>
      </c>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row>
    <row r="98" spans="1:46" ht="387.75" x14ac:dyDescent="0.25">
      <c r="A98" s="385"/>
      <c r="B98" s="183" t="s">
        <v>345</v>
      </c>
      <c r="C98" s="23" t="s">
        <v>346</v>
      </c>
      <c r="D98" s="21" t="s">
        <v>347</v>
      </c>
      <c r="E98" s="246" t="s">
        <v>546</v>
      </c>
      <c r="F98" s="247"/>
      <c r="G98" s="248">
        <v>2</v>
      </c>
      <c r="H98" s="249">
        <v>3</v>
      </c>
      <c r="I98" s="250"/>
      <c r="J98" s="247"/>
      <c r="K98" s="248">
        <v>1</v>
      </c>
      <c r="L98" s="249">
        <v>3</v>
      </c>
      <c r="M98" s="250"/>
      <c r="N98" s="247"/>
      <c r="O98" s="248">
        <v>3</v>
      </c>
      <c r="P98" s="249">
        <v>3</v>
      </c>
      <c r="Q98" s="277"/>
      <c r="R98" s="298" t="s">
        <v>348</v>
      </c>
      <c r="S98" s="299" t="s">
        <v>618</v>
      </c>
      <c r="T98" s="299" t="s">
        <v>619</v>
      </c>
      <c r="U98" s="299" t="s">
        <v>621</v>
      </c>
      <c r="V98" s="288" t="s">
        <v>477</v>
      </c>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row>
    <row r="99" spans="1:46" ht="387.75" x14ac:dyDescent="0.25">
      <c r="A99" s="385"/>
      <c r="B99" s="183" t="s">
        <v>349</v>
      </c>
      <c r="C99" s="23" t="s">
        <v>350</v>
      </c>
      <c r="D99" s="21" t="s">
        <v>351</v>
      </c>
      <c r="E99" s="246" t="s">
        <v>546</v>
      </c>
      <c r="F99" s="247"/>
      <c r="G99" s="248">
        <v>4</v>
      </c>
      <c r="H99" s="249">
        <v>4</v>
      </c>
      <c r="I99" s="250"/>
      <c r="J99" s="247"/>
      <c r="K99" s="248">
        <v>2</v>
      </c>
      <c r="L99" s="249">
        <v>4</v>
      </c>
      <c r="M99" s="250"/>
      <c r="N99" s="247"/>
      <c r="O99" s="248">
        <v>1</v>
      </c>
      <c r="P99" s="249">
        <v>4</v>
      </c>
      <c r="Q99" s="277"/>
      <c r="R99" s="298" t="s">
        <v>352</v>
      </c>
      <c r="S99" s="299" t="s">
        <v>618</v>
      </c>
      <c r="T99" s="299" t="s">
        <v>619</v>
      </c>
      <c r="U99" s="299" t="s">
        <v>621</v>
      </c>
      <c r="V99" s="288" t="s">
        <v>478</v>
      </c>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row>
    <row r="100" spans="1:46" ht="409.5" x14ac:dyDescent="0.25">
      <c r="A100" s="385"/>
      <c r="B100" s="183" t="s">
        <v>353</v>
      </c>
      <c r="C100" s="23" t="s">
        <v>354</v>
      </c>
      <c r="D100" s="21" t="s">
        <v>355</v>
      </c>
      <c r="E100" s="246" t="s">
        <v>546</v>
      </c>
      <c r="F100" s="247"/>
      <c r="G100" s="248">
        <v>2</v>
      </c>
      <c r="H100" s="249">
        <v>3</v>
      </c>
      <c r="I100" s="250"/>
      <c r="J100" s="247"/>
      <c r="K100" s="248">
        <v>4</v>
      </c>
      <c r="L100" s="249">
        <v>3</v>
      </c>
      <c r="M100" s="250"/>
      <c r="N100" s="247"/>
      <c r="O100" s="248">
        <v>4</v>
      </c>
      <c r="P100" s="249">
        <v>3</v>
      </c>
      <c r="Q100" s="277"/>
      <c r="R100" s="298" t="s">
        <v>356</v>
      </c>
      <c r="S100" s="299" t="s">
        <v>618</v>
      </c>
      <c r="T100" s="299" t="s">
        <v>619</v>
      </c>
      <c r="U100" s="299" t="s">
        <v>621</v>
      </c>
      <c r="V100" s="288" t="s">
        <v>479</v>
      </c>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row>
    <row r="101" spans="1:46" ht="239.25" x14ac:dyDescent="0.25">
      <c r="A101" s="385"/>
      <c r="B101" s="183" t="s">
        <v>357</v>
      </c>
      <c r="C101" s="23" t="s">
        <v>358</v>
      </c>
      <c r="D101" s="21" t="s">
        <v>359</v>
      </c>
      <c r="E101" s="246" t="s">
        <v>546</v>
      </c>
      <c r="F101" s="247"/>
      <c r="G101" s="248">
        <v>1</v>
      </c>
      <c r="H101" s="249">
        <v>4</v>
      </c>
      <c r="I101" s="250"/>
      <c r="J101" s="247"/>
      <c r="K101" s="248">
        <v>3</v>
      </c>
      <c r="L101" s="249">
        <v>4</v>
      </c>
      <c r="M101" s="250"/>
      <c r="N101" s="247"/>
      <c r="O101" s="248">
        <v>2</v>
      </c>
      <c r="P101" s="249">
        <v>4</v>
      </c>
      <c r="Q101" s="277"/>
      <c r="R101" s="298" t="s">
        <v>360</v>
      </c>
      <c r="S101" s="299" t="s">
        <v>618</v>
      </c>
      <c r="T101" s="299" t="s">
        <v>619</v>
      </c>
      <c r="U101" s="299" t="s">
        <v>620</v>
      </c>
      <c r="V101" s="288" t="s">
        <v>480</v>
      </c>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row>
    <row r="102" spans="1:46" ht="123.75" x14ac:dyDescent="0.25">
      <c r="A102" s="385"/>
      <c r="B102" s="183" t="s">
        <v>361</v>
      </c>
      <c r="C102" s="23" t="s">
        <v>362</v>
      </c>
      <c r="D102" s="21" t="s">
        <v>363</v>
      </c>
      <c r="E102" s="246" t="s">
        <v>546</v>
      </c>
      <c r="F102" s="247"/>
      <c r="G102" s="248">
        <v>2</v>
      </c>
      <c r="H102" s="249">
        <v>3</v>
      </c>
      <c r="I102" s="250"/>
      <c r="J102" s="247"/>
      <c r="K102" s="248">
        <v>2</v>
      </c>
      <c r="L102" s="249">
        <v>3</v>
      </c>
      <c r="M102" s="250"/>
      <c r="N102" s="247"/>
      <c r="O102" s="248">
        <v>2</v>
      </c>
      <c r="P102" s="249">
        <v>3</v>
      </c>
      <c r="Q102" s="277"/>
      <c r="R102" s="298" t="s">
        <v>364</v>
      </c>
      <c r="S102" s="299" t="s">
        <v>638</v>
      </c>
      <c r="T102" s="299" t="s">
        <v>619</v>
      </c>
      <c r="U102" s="299" t="s">
        <v>644</v>
      </c>
      <c r="V102" s="288" t="s">
        <v>481</v>
      </c>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row>
    <row r="103" spans="1:46" ht="173.25" x14ac:dyDescent="0.25">
      <c r="A103" s="385"/>
      <c r="B103" s="183" t="s">
        <v>365</v>
      </c>
      <c r="C103" s="23" t="s">
        <v>366</v>
      </c>
      <c r="D103" s="21" t="s">
        <v>367</v>
      </c>
      <c r="E103" s="246" t="s">
        <v>546</v>
      </c>
      <c r="F103" s="247"/>
      <c r="G103" s="248">
        <v>1</v>
      </c>
      <c r="H103" s="249">
        <v>4</v>
      </c>
      <c r="I103" s="250"/>
      <c r="J103" s="247"/>
      <c r="K103" s="248">
        <v>3</v>
      </c>
      <c r="L103" s="249">
        <v>4</v>
      </c>
      <c r="M103" s="250"/>
      <c r="N103" s="247"/>
      <c r="O103" s="248">
        <v>3</v>
      </c>
      <c r="P103" s="249">
        <v>4</v>
      </c>
      <c r="Q103" s="277"/>
      <c r="R103" s="298" t="s">
        <v>368</v>
      </c>
      <c r="S103" s="299" t="s">
        <v>618</v>
      </c>
      <c r="T103" s="299" t="s">
        <v>619</v>
      </c>
      <c r="U103" s="299" t="s">
        <v>621</v>
      </c>
      <c r="V103" s="288" t="s">
        <v>482</v>
      </c>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c r="AS103" s="33"/>
      <c r="AT103" s="33"/>
    </row>
    <row r="104" spans="1:46" ht="148.5" x14ac:dyDescent="0.25">
      <c r="A104" s="385"/>
      <c r="B104" s="183" t="s">
        <v>369</v>
      </c>
      <c r="C104" s="23" t="s">
        <v>370</v>
      </c>
      <c r="D104" s="21" t="s">
        <v>371</v>
      </c>
      <c r="E104" s="246" t="s">
        <v>546</v>
      </c>
      <c r="F104" s="247"/>
      <c r="G104" s="248">
        <v>3</v>
      </c>
      <c r="H104" s="249">
        <v>3</v>
      </c>
      <c r="I104" s="250"/>
      <c r="J104" s="247"/>
      <c r="K104" s="248">
        <v>2</v>
      </c>
      <c r="L104" s="249">
        <v>3</v>
      </c>
      <c r="M104" s="250"/>
      <c r="N104" s="247"/>
      <c r="O104" s="248">
        <v>1</v>
      </c>
      <c r="P104" s="249">
        <v>3</v>
      </c>
      <c r="Q104" s="277"/>
      <c r="R104" s="298" t="s">
        <v>372</v>
      </c>
      <c r="S104" s="299" t="s">
        <v>618</v>
      </c>
      <c r="T104" s="299" t="s">
        <v>619</v>
      </c>
      <c r="U104" s="299" t="s">
        <v>621</v>
      </c>
      <c r="V104" s="288" t="s">
        <v>483</v>
      </c>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row>
    <row r="105" spans="1:46" ht="99" x14ac:dyDescent="0.25">
      <c r="A105" s="385"/>
      <c r="B105" s="183" t="s">
        <v>373</v>
      </c>
      <c r="C105" s="23" t="s">
        <v>374</v>
      </c>
      <c r="D105" s="21" t="s">
        <v>375</v>
      </c>
      <c r="E105" s="246" t="s">
        <v>546</v>
      </c>
      <c r="F105" s="247"/>
      <c r="G105" s="248">
        <v>1</v>
      </c>
      <c r="H105" s="249">
        <v>4</v>
      </c>
      <c r="I105" s="250"/>
      <c r="J105" s="247"/>
      <c r="K105" s="248">
        <v>1</v>
      </c>
      <c r="L105" s="249">
        <v>4</v>
      </c>
      <c r="M105" s="250"/>
      <c r="N105" s="247"/>
      <c r="O105" s="248">
        <v>1</v>
      </c>
      <c r="P105" s="249">
        <v>4</v>
      </c>
      <c r="Q105" s="277"/>
      <c r="R105" s="298" t="s">
        <v>376</v>
      </c>
      <c r="S105" s="299" t="s">
        <v>618</v>
      </c>
      <c r="T105" s="299" t="s">
        <v>645</v>
      </c>
      <c r="U105" s="299" t="s">
        <v>621</v>
      </c>
      <c r="V105" s="288" t="s">
        <v>484</v>
      </c>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row>
    <row r="106" spans="1:46" ht="115.5" x14ac:dyDescent="0.25">
      <c r="A106" s="385"/>
      <c r="B106" s="184" t="s">
        <v>377</v>
      </c>
      <c r="C106" s="151" t="s">
        <v>378</v>
      </c>
      <c r="D106" s="140" t="s">
        <v>379</v>
      </c>
      <c r="E106" s="255" t="s">
        <v>545</v>
      </c>
      <c r="F106" s="256" t="s">
        <v>498</v>
      </c>
      <c r="G106" s="257">
        <v>2</v>
      </c>
      <c r="H106" s="258">
        <v>3</v>
      </c>
      <c r="I106" s="259"/>
      <c r="J106" s="256" t="s">
        <v>498</v>
      </c>
      <c r="K106" s="257">
        <v>1</v>
      </c>
      <c r="L106" s="258">
        <v>3</v>
      </c>
      <c r="M106" s="259"/>
      <c r="N106" s="256" t="s">
        <v>498</v>
      </c>
      <c r="O106" s="257">
        <v>1</v>
      </c>
      <c r="P106" s="258">
        <v>3</v>
      </c>
      <c r="Q106" s="279"/>
      <c r="R106" s="300" t="s">
        <v>380</v>
      </c>
      <c r="S106" s="301" t="s">
        <v>618</v>
      </c>
      <c r="T106" s="301" t="s">
        <v>619</v>
      </c>
      <c r="U106" s="301" t="s">
        <v>621</v>
      </c>
      <c r="V106" s="290" t="s">
        <v>485</v>
      </c>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row>
    <row r="107" spans="1:46" ht="20.100000000000001" customHeight="1" thickBot="1" x14ac:dyDescent="0.3">
      <c r="A107" s="386"/>
      <c r="B107" s="383" t="s">
        <v>609</v>
      </c>
      <c r="C107" s="383"/>
      <c r="D107" s="383"/>
      <c r="E107" s="185"/>
      <c r="F107" s="186"/>
      <c r="G107" s="187">
        <f>IF(COUNT(G73:G106)&lt;&gt;0,SUM(G73:G106)/COUNT(G73:G106),"")</f>
        <v>2.1764705882352939</v>
      </c>
      <c r="H107" s="187">
        <f>IF(COUNT(H73:H106)&lt;&gt;0,SUM(H73:H106)/COUNT(H73:H106),"")</f>
        <v>3.5</v>
      </c>
      <c r="I107" s="188"/>
      <c r="J107" s="186"/>
      <c r="K107" s="187">
        <f>IF(COUNT(K73:K106)&lt;&gt;0,SUM(K73:K106)/COUNT(K73:K106),"")</f>
        <v>1.9705882352941178</v>
      </c>
      <c r="L107" s="187">
        <f>IF(COUNT(L73:L106)&lt;&gt;0,SUM(L73:L106)/COUNT(L73:L106),"")</f>
        <v>3</v>
      </c>
      <c r="M107" s="188"/>
      <c r="N107" s="186"/>
      <c r="O107" s="187">
        <f>IF(COUNT(O73:O106)&lt;&gt;0,SUM(O73:O106)/COUNT(O73:O106),"")</f>
        <v>2.0294117647058822</v>
      </c>
      <c r="P107" s="187">
        <f>IF(COUNT(P73:P106)&lt;&gt;0,SUM(P73:P106)/COUNT(P73:P106),"")</f>
        <v>2.7647058823529411</v>
      </c>
      <c r="Q107" s="286"/>
      <c r="R107" s="311"/>
      <c r="S107" s="312"/>
      <c r="T107" s="312"/>
      <c r="U107" s="312"/>
      <c r="V107" s="295"/>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c r="AS107" s="33"/>
      <c r="AT107" s="33"/>
    </row>
    <row r="108" spans="1:46" ht="5.0999999999999996" customHeight="1" thickBot="1" x14ac:dyDescent="0.3">
      <c r="A108" s="33"/>
      <c r="B108" s="27"/>
      <c r="C108" s="27"/>
      <c r="D108" s="27"/>
      <c r="E108" s="33"/>
      <c r="F108" s="103"/>
      <c r="G108" s="103"/>
      <c r="H108" s="110"/>
      <c r="I108" s="104"/>
      <c r="J108" s="39"/>
      <c r="K108" s="39"/>
      <c r="L108" s="33"/>
      <c r="M108" s="107"/>
      <c r="N108" s="33"/>
      <c r="O108" s="33"/>
      <c r="P108" s="39"/>
      <c r="Q108" s="112"/>
      <c r="R108" s="27"/>
      <c r="S108" s="270"/>
      <c r="T108" s="270"/>
      <c r="U108" s="270"/>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c r="AS108" s="33"/>
      <c r="AT108" s="33"/>
    </row>
    <row r="109" spans="1:46" s="206" customFormat="1" ht="20.100000000000001" customHeight="1" thickBot="1" x14ac:dyDescent="0.4">
      <c r="A109" s="393" t="s">
        <v>610</v>
      </c>
      <c r="B109" s="394"/>
      <c r="C109" s="394"/>
      <c r="D109" s="394"/>
      <c r="E109" s="207"/>
      <c r="F109" s="208"/>
      <c r="G109" s="209">
        <f>IF(COUNT(G107,G72,G57,G48)&lt;&gt;0,SUM(G107,G72,G57,G48)/COUNT(G107,G72,G57,G48),"")</f>
        <v>2.3884709289121053</v>
      </c>
      <c r="H109" s="209">
        <f>IF(COUNT(H107,H72,H57,H48)&lt;&gt;0,SUM(H107,H72,H57,H48)/COUNT(H107,H72,H57,H48),"")</f>
        <v>3.5076013513513513</v>
      </c>
      <c r="I109" s="210"/>
      <c r="J109" s="208"/>
      <c r="K109" s="209">
        <f>IF(COUNT(K107,K72,K57,K48)&lt;&gt;0,SUM(K107,K72,K57,K48)/COUNT(K107,K72,K57,K48),"")</f>
        <v>2.1001518850783558</v>
      </c>
      <c r="L109" s="209">
        <f>IF(COUNT(L107,L72,L57,L48)&lt;&gt;0,SUM(L107,L72,L57,L48)/COUNT(L107,L72,L57,L48),"")</f>
        <v>3.2147683397683395</v>
      </c>
      <c r="M109" s="210"/>
      <c r="N109" s="208"/>
      <c r="O109" s="209">
        <f>IF(COUNT(O107,O72,O57,O48)&lt;&gt;0,SUM(O107,O72,O57,O48)/COUNT(O107,O72,O57,O48),"")</f>
        <v>2.0435498523733817</v>
      </c>
      <c r="P109" s="209">
        <f>IF(COUNT(P107,P72,P57,P48)&lt;&gt;0,SUM(P107,P72,P57,P48)/COUNT(P107,P72,P57,P48),"")</f>
        <v>3.0439756983874631</v>
      </c>
      <c r="Q109" s="211"/>
      <c r="R109" s="314"/>
      <c r="S109" s="315"/>
      <c r="T109" s="315"/>
      <c r="U109" s="315"/>
      <c r="V109" s="313"/>
      <c r="W109" s="205"/>
      <c r="X109" s="205"/>
      <c r="Y109" s="205"/>
      <c r="Z109" s="205"/>
      <c r="AA109" s="205"/>
      <c r="AB109" s="205"/>
      <c r="AC109" s="205"/>
      <c r="AD109" s="205"/>
      <c r="AE109" s="205"/>
      <c r="AF109" s="205"/>
      <c r="AG109" s="205"/>
      <c r="AH109" s="205"/>
      <c r="AI109" s="205"/>
      <c r="AJ109" s="205"/>
      <c r="AK109" s="205"/>
      <c r="AL109" s="205"/>
      <c r="AM109" s="205"/>
      <c r="AN109" s="205"/>
      <c r="AO109" s="205"/>
      <c r="AP109" s="205"/>
      <c r="AQ109" s="205"/>
      <c r="AR109" s="205"/>
      <c r="AS109" s="205"/>
      <c r="AT109" s="205"/>
    </row>
    <row r="110" spans="1:46" x14ac:dyDescent="0.25">
      <c r="A110" s="33"/>
      <c r="B110" s="27"/>
      <c r="C110" s="27"/>
      <c r="D110" s="27"/>
      <c r="E110" s="33"/>
      <c r="F110" s="103"/>
      <c r="G110" s="103"/>
      <c r="H110" s="110"/>
      <c r="I110" s="104"/>
      <c r="J110" s="39"/>
      <c r="K110" s="39"/>
      <c r="L110" s="33"/>
      <c r="M110" s="107"/>
      <c r="N110" s="33"/>
      <c r="O110" s="33"/>
      <c r="P110" s="39"/>
      <c r="Q110" s="112"/>
      <c r="R110" s="27"/>
      <c r="S110" s="270"/>
      <c r="T110" s="270"/>
      <c r="U110" s="270"/>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row>
    <row r="111" spans="1:46" x14ac:dyDescent="0.25">
      <c r="A111" s="33"/>
      <c r="B111" s="27"/>
      <c r="C111" s="27"/>
      <c r="D111" s="27"/>
      <c r="E111" s="33"/>
      <c r="F111" s="103"/>
      <c r="G111" s="103"/>
      <c r="H111" s="110"/>
      <c r="I111" s="104"/>
      <c r="J111" s="39"/>
      <c r="K111" s="39"/>
      <c r="L111" s="33"/>
      <c r="M111" s="107"/>
      <c r="N111" s="33"/>
      <c r="O111" s="33"/>
      <c r="P111" s="39"/>
      <c r="Q111" s="112"/>
      <c r="R111" s="27"/>
      <c r="S111" s="270"/>
      <c r="T111" s="270"/>
      <c r="U111" s="270"/>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c r="AS111" s="33"/>
      <c r="AT111" s="33"/>
    </row>
    <row r="112" spans="1:46" x14ac:dyDescent="0.25">
      <c r="A112" s="33"/>
      <c r="B112" s="27"/>
      <c r="C112" s="27"/>
      <c r="D112" s="27"/>
      <c r="E112" s="33"/>
      <c r="F112" s="103"/>
      <c r="G112" s="103"/>
      <c r="H112" s="110"/>
      <c r="I112" s="104"/>
      <c r="J112" s="39"/>
      <c r="K112" s="39"/>
      <c r="L112" s="33"/>
      <c r="M112" s="107"/>
      <c r="N112" s="33"/>
      <c r="O112" s="33"/>
      <c r="P112" s="39"/>
      <c r="Q112" s="112"/>
      <c r="R112" s="27"/>
      <c r="S112" s="270"/>
      <c r="T112" s="270"/>
      <c r="U112" s="270"/>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c r="AS112" s="33"/>
      <c r="AT112" s="33"/>
    </row>
    <row r="113" spans="1:46" x14ac:dyDescent="0.25">
      <c r="A113" s="33"/>
      <c r="B113" s="27"/>
      <c r="C113" s="27"/>
      <c r="D113" s="27"/>
      <c r="E113" s="33"/>
      <c r="F113" s="103"/>
      <c r="G113" s="103"/>
      <c r="H113" s="110"/>
      <c r="I113" s="104"/>
      <c r="J113" s="39"/>
      <c r="K113" s="39"/>
      <c r="L113" s="33"/>
      <c r="M113" s="107"/>
      <c r="N113" s="33"/>
      <c r="O113" s="33"/>
      <c r="P113" s="39"/>
      <c r="Q113" s="112"/>
      <c r="R113" s="27"/>
      <c r="S113" s="270"/>
      <c r="T113" s="270"/>
      <c r="U113" s="270"/>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c r="AS113" s="33"/>
      <c r="AT113" s="33"/>
    </row>
    <row r="114" spans="1:46" x14ac:dyDescent="0.25">
      <c r="A114" s="33"/>
      <c r="B114" s="27"/>
      <c r="C114" s="27"/>
      <c r="D114" s="27"/>
      <c r="E114" s="33"/>
      <c r="F114" s="103"/>
      <c r="G114" s="103"/>
      <c r="H114" s="110"/>
      <c r="I114" s="104"/>
      <c r="J114" s="39"/>
      <c r="K114" s="39"/>
      <c r="L114" s="33"/>
      <c r="M114" s="107"/>
      <c r="N114" s="33"/>
      <c r="O114" s="33"/>
      <c r="P114" s="39"/>
      <c r="Q114" s="112"/>
      <c r="R114" s="27"/>
      <c r="S114" s="270"/>
      <c r="T114" s="270"/>
      <c r="U114" s="270"/>
      <c r="V114" s="33"/>
      <c r="W114" s="33"/>
      <c r="X114" s="33"/>
      <c r="Y114" s="33"/>
      <c r="Z114" s="33"/>
      <c r="AA114" s="33"/>
      <c r="AB114" s="33"/>
      <c r="AC114" s="33"/>
      <c r="AD114" s="33"/>
      <c r="AE114" s="33"/>
      <c r="AF114" s="33"/>
      <c r="AG114" s="33"/>
      <c r="AH114" s="33"/>
      <c r="AI114" s="33"/>
      <c r="AJ114" s="33"/>
      <c r="AK114" s="33"/>
      <c r="AL114" s="33"/>
      <c r="AM114" s="33"/>
      <c r="AN114" s="33"/>
      <c r="AO114" s="33"/>
      <c r="AP114" s="33"/>
      <c r="AQ114" s="33"/>
      <c r="AR114" s="33"/>
      <c r="AS114" s="33"/>
      <c r="AT114" s="33"/>
    </row>
    <row r="115" spans="1:46" x14ac:dyDescent="0.25">
      <c r="A115" s="33"/>
      <c r="B115" s="27"/>
      <c r="C115" s="27"/>
      <c r="D115" s="27"/>
      <c r="E115" s="33"/>
      <c r="F115" s="103"/>
      <c r="G115" s="103"/>
      <c r="H115" s="110"/>
      <c r="I115" s="104"/>
      <c r="J115" s="39"/>
      <c r="K115" s="39"/>
      <c r="L115" s="33"/>
      <c r="M115" s="107"/>
      <c r="N115" s="33"/>
      <c r="O115" s="33"/>
      <c r="P115" s="39"/>
      <c r="Q115" s="112"/>
      <c r="R115" s="27"/>
      <c r="S115" s="270"/>
      <c r="T115" s="270"/>
      <c r="U115" s="270"/>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row>
    <row r="116" spans="1:46" x14ac:dyDescent="0.25">
      <c r="A116" s="33"/>
      <c r="B116" s="27"/>
      <c r="C116" s="27"/>
      <c r="D116" s="27"/>
      <c r="E116" s="33"/>
      <c r="F116" s="103"/>
      <c r="G116" s="103"/>
      <c r="H116" s="110"/>
      <c r="I116" s="104"/>
      <c r="J116" s="39"/>
      <c r="K116" s="39"/>
      <c r="L116" s="33"/>
      <c r="M116" s="107"/>
      <c r="N116" s="33"/>
      <c r="O116" s="33"/>
      <c r="P116" s="39"/>
      <c r="Q116" s="112"/>
      <c r="R116" s="27"/>
      <c r="S116" s="270"/>
      <c r="T116" s="270"/>
      <c r="U116" s="270"/>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row>
    <row r="117" spans="1:46" x14ac:dyDescent="0.25">
      <c r="A117" s="33"/>
      <c r="B117" s="27"/>
      <c r="C117" s="27"/>
      <c r="D117" s="27"/>
      <c r="E117" s="33"/>
      <c r="F117" s="103"/>
      <c r="G117" s="103"/>
      <c r="H117" s="110"/>
      <c r="I117" s="104"/>
      <c r="J117" s="39"/>
      <c r="K117" s="39"/>
      <c r="L117" s="33"/>
      <c r="M117" s="107"/>
      <c r="N117" s="33"/>
      <c r="O117" s="33"/>
      <c r="P117" s="39"/>
      <c r="Q117" s="112"/>
      <c r="R117" s="27"/>
      <c r="S117" s="270"/>
      <c r="T117" s="270"/>
      <c r="U117" s="270"/>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c r="AS117" s="33"/>
      <c r="AT117" s="33"/>
    </row>
    <row r="118" spans="1:46" x14ac:dyDescent="0.25">
      <c r="A118" s="33"/>
      <c r="B118" s="27"/>
      <c r="C118" s="27"/>
      <c r="D118" s="27"/>
      <c r="E118" s="33"/>
      <c r="F118" s="103"/>
      <c r="G118" s="103"/>
      <c r="H118" s="110"/>
      <c r="I118" s="104"/>
      <c r="J118" s="39"/>
      <c r="K118" s="39"/>
      <c r="L118" s="33"/>
      <c r="M118" s="107"/>
      <c r="N118" s="33"/>
      <c r="O118" s="33"/>
      <c r="P118" s="39"/>
      <c r="Q118" s="112"/>
      <c r="R118" s="27"/>
      <c r="S118" s="270"/>
      <c r="T118" s="270"/>
      <c r="U118" s="270"/>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c r="AS118" s="33"/>
      <c r="AT118" s="33"/>
    </row>
    <row r="119" spans="1:46" x14ac:dyDescent="0.25">
      <c r="A119" s="33"/>
      <c r="B119" s="27"/>
      <c r="C119" s="27"/>
      <c r="D119" s="27"/>
      <c r="E119" s="33"/>
      <c r="F119" s="103"/>
      <c r="G119" s="103"/>
      <c r="H119" s="110"/>
      <c r="I119" s="104"/>
      <c r="J119" s="39"/>
      <c r="K119" s="39"/>
      <c r="L119" s="33"/>
      <c r="M119" s="107"/>
      <c r="N119" s="33"/>
      <c r="O119" s="33"/>
      <c r="P119" s="39"/>
      <c r="Q119" s="112"/>
      <c r="R119" s="27"/>
      <c r="S119" s="270"/>
      <c r="T119" s="270"/>
      <c r="U119" s="270"/>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c r="AS119" s="33"/>
      <c r="AT119" s="33"/>
    </row>
    <row r="120" spans="1:46" x14ac:dyDescent="0.25">
      <c r="A120" s="33"/>
      <c r="B120" s="27"/>
      <c r="C120" s="27"/>
      <c r="D120" s="27"/>
      <c r="E120" s="33"/>
      <c r="F120" s="103"/>
      <c r="G120" s="103"/>
      <c r="H120" s="110"/>
      <c r="I120" s="104"/>
      <c r="J120" s="39"/>
      <c r="K120" s="39"/>
      <c r="L120" s="33"/>
      <c r="M120" s="107"/>
      <c r="N120" s="33"/>
      <c r="O120" s="33"/>
      <c r="P120" s="39"/>
      <c r="Q120" s="112"/>
      <c r="R120" s="27"/>
      <c r="S120" s="270"/>
      <c r="T120" s="270"/>
      <c r="U120" s="270"/>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c r="AS120" s="33"/>
      <c r="AT120" s="33"/>
    </row>
    <row r="121" spans="1:46" x14ac:dyDescent="0.25">
      <c r="A121" s="33"/>
      <c r="B121" s="27"/>
      <c r="C121" s="27"/>
      <c r="D121" s="27"/>
      <c r="E121" s="33"/>
      <c r="F121" s="103"/>
      <c r="G121" s="103"/>
      <c r="H121" s="110"/>
      <c r="I121" s="104"/>
      <c r="J121" s="39"/>
      <c r="K121" s="39"/>
      <c r="L121" s="33"/>
      <c r="M121" s="107"/>
      <c r="N121" s="33"/>
      <c r="O121" s="33"/>
      <c r="P121" s="39"/>
      <c r="Q121" s="112"/>
      <c r="R121" s="27"/>
      <c r="S121" s="270"/>
      <c r="T121" s="270"/>
      <c r="U121" s="270"/>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c r="AS121" s="33"/>
      <c r="AT121" s="33"/>
    </row>
    <row r="122" spans="1:46" x14ac:dyDescent="0.25">
      <c r="A122" s="33"/>
      <c r="B122" s="27"/>
      <c r="C122" s="27"/>
      <c r="D122" s="27"/>
      <c r="E122" s="33"/>
      <c r="F122" s="103"/>
      <c r="G122" s="103"/>
      <c r="H122" s="110"/>
      <c r="I122" s="104"/>
      <c r="J122" s="39"/>
      <c r="K122" s="39"/>
      <c r="L122" s="33"/>
      <c r="M122" s="107"/>
      <c r="N122" s="33"/>
      <c r="O122" s="33"/>
      <c r="P122" s="39"/>
      <c r="Q122" s="112"/>
      <c r="R122" s="27"/>
      <c r="S122" s="270"/>
      <c r="T122" s="270"/>
      <c r="U122" s="270"/>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row>
    <row r="123" spans="1:46" x14ac:dyDescent="0.25">
      <c r="A123" s="33"/>
      <c r="B123" s="27"/>
      <c r="C123" s="27"/>
      <c r="D123" s="27"/>
      <c r="E123" s="33"/>
      <c r="F123" s="103"/>
      <c r="G123" s="103"/>
      <c r="H123" s="110"/>
      <c r="I123" s="104"/>
      <c r="J123" s="39"/>
      <c r="K123" s="39"/>
      <c r="L123" s="33"/>
      <c r="M123" s="107"/>
      <c r="N123" s="33"/>
      <c r="O123" s="33"/>
      <c r="P123" s="39"/>
      <c r="Q123" s="112"/>
      <c r="R123" s="27"/>
      <c r="S123" s="270"/>
      <c r="T123" s="270"/>
      <c r="U123" s="270"/>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c r="AS123" s="33"/>
      <c r="AT123" s="33"/>
    </row>
    <row r="124" spans="1:46" x14ac:dyDescent="0.25">
      <c r="A124" s="33"/>
      <c r="B124" s="27"/>
      <c r="C124" s="27"/>
      <c r="D124" s="27"/>
      <c r="E124" s="33"/>
      <c r="F124" s="103"/>
      <c r="G124" s="103"/>
      <c r="H124" s="110"/>
      <c r="I124" s="104"/>
      <c r="J124" s="39"/>
      <c r="K124" s="39"/>
      <c r="L124" s="33"/>
      <c r="M124" s="107"/>
      <c r="N124" s="33"/>
      <c r="O124" s="33"/>
      <c r="P124" s="39"/>
      <c r="Q124" s="112"/>
      <c r="R124" s="27"/>
      <c r="S124" s="270"/>
      <c r="T124" s="270"/>
      <c r="U124" s="270"/>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c r="AS124" s="33"/>
      <c r="AT124" s="33"/>
    </row>
    <row r="125" spans="1:46" x14ac:dyDescent="0.25">
      <c r="A125" s="33"/>
      <c r="B125" s="27"/>
      <c r="C125" s="27"/>
      <c r="D125" s="27"/>
      <c r="E125" s="33"/>
      <c r="F125" s="103"/>
      <c r="G125" s="103"/>
      <c r="H125" s="110"/>
      <c r="I125" s="104"/>
      <c r="J125" s="39"/>
      <c r="K125" s="39"/>
      <c r="L125" s="33"/>
      <c r="M125" s="107"/>
      <c r="N125" s="33"/>
      <c r="O125" s="33"/>
      <c r="P125" s="39"/>
      <c r="Q125" s="112"/>
      <c r="R125" s="27"/>
      <c r="S125" s="270"/>
      <c r="T125" s="270"/>
      <c r="U125" s="270"/>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c r="AS125" s="33"/>
      <c r="AT125" s="33"/>
    </row>
    <row r="126" spans="1:46" x14ac:dyDescent="0.25">
      <c r="A126" s="33"/>
      <c r="B126" s="27"/>
      <c r="C126" s="27"/>
      <c r="D126" s="27"/>
      <c r="E126" s="33"/>
      <c r="F126" s="103"/>
      <c r="G126" s="103"/>
      <c r="H126" s="110"/>
      <c r="I126" s="104"/>
      <c r="J126" s="39"/>
      <c r="K126" s="39"/>
      <c r="L126" s="33"/>
      <c r="M126" s="107"/>
      <c r="N126" s="33"/>
      <c r="O126" s="33"/>
      <c r="P126" s="39"/>
      <c r="Q126" s="112"/>
      <c r="R126" s="27"/>
      <c r="S126" s="270"/>
      <c r="T126" s="270"/>
      <c r="U126" s="270"/>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row>
    <row r="127" spans="1:46" x14ac:dyDescent="0.25">
      <c r="A127" s="33"/>
      <c r="B127" s="27"/>
      <c r="C127" s="27"/>
      <c r="D127" s="27"/>
      <c r="E127" s="33"/>
      <c r="F127" s="103"/>
      <c r="G127" s="103"/>
      <c r="H127" s="110"/>
      <c r="I127" s="104"/>
      <c r="J127" s="39"/>
      <c r="K127" s="39"/>
      <c r="L127" s="33"/>
      <c r="M127" s="107"/>
      <c r="N127" s="33"/>
      <c r="O127" s="33"/>
      <c r="P127" s="39"/>
      <c r="Q127" s="112"/>
      <c r="R127" s="27"/>
      <c r="S127" s="270"/>
      <c r="T127" s="270"/>
      <c r="U127" s="270"/>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row>
    <row r="128" spans="1:46" x14ac:dyDescent="0.25">
      <c r="A128" s="33"/>
      <c r="B128" s="27"/>
      <c r="C128" s="27"/>
      <c r="D128" s="27"/>
      <c r="E128" s="33"/>
      <c r="F128" s="103"/>
      <c r="G128" s="103"/>
      <c r="H128" s="110"/>
      <c r="I128" s="104"/>
      <c r="J128" s="39"/>
      <c r="K128" s="39"/>
      <c r="L128" s="33"/>
      <c r="M128" s="107"/>
      <c r="N128" s="33"/>
      <c r="O128" s="33"/>
      <c r="P128" s="39"/>
      <c r="Q128" s="112"/>
      <c r="R128" s="27"/>
      <c r="S128" s="270"/>
      <c r="T128" s="270"/>
      <c r="U128" s="270"/>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c r="AS128" s="33"/>
      <c r="AT128" s="33"/>
    </row>
    <row r="129" spans="1:46" x14ac:dyDescent="0.25">
      <c r="A129" s="33"/>
      <c r="B129" s="27"/>
      <c r="C129" s="27"/>
      <c r="D129" s="27"/>
      <c r="E129" s="33"/>
      <c r="F129" s="103"/>
      <c r="G129" s="103"/>
      <c r="H129" s="110"/>
      <c r="I129" s="104"/>
      <c r="J129" s="39"/>
      <c r="K129" s="39"/>
      <c r="L129" s="33"/>
      <c r="M129" s="107"/>
      <c r="N129" s="33"/>
      <c r="O129" s="33"/>
      <c r="P129" s="39"/>
      <c r="Q129" s="112"/>
      <c r="R129" s="27"/>
      <c r="S129" s="270"/>
      <c r="T129" s="270"/>
      <c r="U129" s="270"/>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c r="AS129" s="33"/>
      <c r="AT129" s="33"/>
    </row>
    <row r="130" spans="1:46" x14ac:dyDescent="0.25">
      <c r="A130" s="33"/>
      <c r="B130" s="27"/>
      <c r="C130" s="27"/>
      <c r="D130" s="27"/>
      <c r="E130" s="33"/>
      <c r="F130" s="103"/>
      <c r="G130" s="103"/>
      <c r="H130" s="110"/>
      <c r="I130" s="104"/>
      <c r="J130" s="39"/>
      <c r="K130" s="39"/>
      <c r="L130" s="33"/>
      <c r="M130" s="107"/>
      <c r="N130" s="33"/>
      <c r="O130" s="33"/>
      <c r="P130" s="39"/>
      <c r="Q130" s="112"/>
      <c r="R130" s="27"/>
      <c r="S130" s="270"/>
      <c r="T130" s="270"/>
      <c r="U130" s="270"/>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row>
    <row r="131" spans="1:46" x14ac:dyDescent="0.25">
      <c r="A131" s="33"/>
      <c r="B131" s="27"/>
      <c r="C131" s="27"/>
      <c r="D131" s="27"/>
      <c r="E131" s="33"/>
      <c r="F131" s="103"/>
      <c r="G131" s="103"/>
      <c r="H131" s="110"/>
      <c r="I131" s="104"/>
      <c r="J131" s="39"/>
      <c r="K131" s="39"/>
      <c r="L131" s="33"/>
      <c r="M131" s="107"/>
      <c r="N131" s="33"/>
      <c r="O131" s="33"/>
      <c r="P131" s="39"/>
      <c r="Q131" s="112"/>
      <c r="R131" s="27"/>
      <c r="S131" s="270"/>
      <c r="T131" s="270"/>
      <c r="U131" s="270"/>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c r="AS131" s="33"/>
      <c r="AT131" s="33"/>
    </row>
    <row r="132" spans="1:46" x14ac:dyDescent="0.25">
      <c r="A132" s="33"/>
      <c r="B132" s="27"/>
      <c r="C132" s="27"/>
      <c r="D132" s="27"/>
      <c r="E132" s="33"/>
      <c r="F132" s="103"/>
      <c r="G132" s="103"/>
      <c r="H132" s="110"/>
      <c r="I132" s="104"/>
      <c r="J132" s="39"/>
      <c r="K132" s="39"/>
      <c r="L132" s="33"/>
      <c r="M132" s="107"/>
      <c r="N132" s="33"/>
      <c r="O132" s="33"/>
      <c r="P132" s="39"/>
      <c r="Q132" s="112"/>
      <c r="R132" s="27"/>
      <c r="S132" s="270"/>
      <c r="T132" s="270"/>
      <c r="U132" s="270"/>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c r="AS132" s="33"/>
      <c r="AT132" s="33"/>
    </row>
    <row r="133" spans="1:46" x14ac:dyDescent="0.25">
      <c r="A133" s="33"/>
      <c r="B133" s="27"/>
      <c r="C133" s="27"/>
      <c r="D133" s="27"/>
      <c r="E133" s="33"/>
      <c r="F133" s="103"/>
      <c r="G133" s="103"/>
      <c r="H133" s="110"/>
      <c r="I133" s="104"/>
      <c r="J133" s="39"/>
      <c r="K133" s="39"/>
      <c r="L133" s="33"/>
      <c r="M133" s="107"/>
      <c r="N133" s="33"/>
      <c r="O133" s="33"/>
      <c r="P133" s="39"/>
      <c r="Q133" s="112"/>
      <c r="R133" s="27"/>
      <c r="S133" s="270"/>
      <c r="T133" s="270"/>
      <c r="U133" s="270"/>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row>
    <row r="134" spans="1:46" x14ac:dyDescent="0.25">
      <c r="A134" s="33"/>
      <c r="B134" s="27"/>
      <c r="C134" s="27"/>
      <c r="D134" s="27"/>
      <c r="E134" s="33"/>
      <c r="F134" s="103"/>
      <c r="G134" s="103"/>
      <c r="H134" s="110"/>
      <c r="I134" s="104"/>
      <c r="J134" s="39"/>
      <c r="K134" s="39"/>
      <c r="L134" s="33"/>
      <c r="M134" s="107"/>
      <c r="N134" s="33"/>
      <c r="O134" s="33"/>
      <c r="P134" s="39"/>
      <c r="Q134" s="112"/>
      <c r="R134" s="27"/>
      <c r="S134" s="270"/>
      <c r="T134" s="270"/>
      <c r="U134" s="270"/>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row>
    <row r="135" spans="1:46" x14ac:dyDescent="0.25">
      <c r="A135" s="33"/>
      <c r="B135" s="27"/>
      <c r="C135" s="27"/>
      <c r="D135" s="27"/>
      <c r="E135" s="33"/>
      <c r="F135" s="103"/>
      <c r="G135" s="103"/>
      <c r="H135" s="110"/>
      <c r="I135" s="104"/>
      <c r="J135" s="39"/>
      <c r="K135" s="39"/>
      <c r="L135" s="33"/>
      <c r="M135" s="107"/>
      <c r="N135" s="33"/>
      <c r="O135" s="33"/>
      <c r="P135" s="39"/>
      <c r="Q135" s="112"/>
      <c r="R135" s="27"/>
      <c r="S135" s="270"/>
      <c r="T135" s="270"/>
      <c r="U135" s="270"/>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row>
    <row r="136" spans="1:46" x14ac:dyDescent="0.25">
      <c r="A136" s="33"/>
      <c r="B136" s="27"/>
      <c r="C136" s="27"/>
      <c r="D136" s="27"/>
      <c r="E136" s="33"/>
      <c r="F136" s="103"/>
      <c r="G136" s="103"/>
      <c r="H136" s="110"/>
      <c r="I136" s="104"/>
      <c r="J136" s="39"/>
      <c r="K136" s="39"/>
      <c r="L136" s="33"/>
      <c r="M136" s="107"/>
      <c r="N136" s="33"/>
      <c r="O136" s="33"/>
      <c r="P136" s="39"/>
      <c r="Q136" s="112"/>
      <c r="R136" s="27"/>
      <c r="S136" s="270"/>
      <c r="T136" s="270"/>
      <c r="U136" s="270"/>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row>
    <row r="137" spans="1:46" x14ac:dyDescent="0.25">
      <c r="A137" s="33"/>
      <c r="B137" s="27"/>
      <c r="C137" s="27"/>
      <c r="D137" s="27"/>
      <c r="E137" s="33"/>
      <c r="F137" s="103"/>
      <c r="G137" s="103"/>
      <c r="H137" s="110"/>
      <c r="I137" s="104"/>
      <c r="J137" s="39"/>
      <c r="K137" s="39"/>
      <c r="L137" s="33"/>
      <c r="M137" s="107"/>
      <c r="N137" s="33"/>
      <c r="O137" s="33"/>
      <c r="P137" s="39"/>
      <c r="Q137" s="112"/>
      <c r="R137" s="27"/>
      <c r="S137" s="270"/>
      <c r="T137" s="270"/>
      <c r="U137" s="270"/>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row>
    <row r="138" spans="1:46" x14ac:dyDescent="0.25">
      <c r="A138" s="33"/>
      <c r="B138" s="27"/>
      <c r="C138" s="27"/>
      <c r="D138" s="27"/>
      <c r="E138" s="33"/>
      <c r="F138" s="103"/>
      <c r="G138" s="103"/>
      <c r="H138" s="110"/>
      <c r="I138" s="104"/>
      <c r="J138" s="39"/>
      <c r="K138" s="39"/>
      <c r="L138" s="33"/>
      <c r="M138" s="107"/>
      <c r="N138" s="33"/>
      <c r="O138" s="33"/>
      <c r="P138" s="39"/>
      <c r="Q138" s="112"/>
      <c r="R138" s="27"/>
      <c r="S138" s="270"/>
      <c r="T138" s="270"/>
      <c r="U138" s="270"/>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row>
    <row r="139" spans="1:46" x14ac:dyDescent="0.25">
      <c r="A139" s="33"/>
      <c r="B139" s="27"/>
      <c r="C139" s="27"/>
      <c r="D139" s="27"/>
      <c r="E139" s="33"/>
      <c r="F139" s="103"/>
      <c r="G139" s="103"/>
      <c r="H139" s="110"/>
      <c r="I139" s="104"/>
      <c r="J139" s="39"/>
      <c r="K139" s="39"/>
      <c r="L139" s="33"/>
      <c r="M139" s="107"/>
      <c r="N139" s="33"/>
      <c r="O139" s="33"/>
      <c r="P139" s="39"/>
      <c r="Q139" s="112"/>
      <c r="R139" s="27"/>
      <c r="S139" s="270"/>
      <c r="T139" s="270"/>
      <c r="U139" s="270"/>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row>
    <row r="140" spans="1:46" x14ac:dyDescent="0.25">
      <c r="A140" s="33"/>
      <c r="B140" s="27"/>
      <c r="C140" s="27"/>
      <c r="D140" s="27"/>
      <c r="E140" s="33"/>
      <c r="F140" s="103"/>
      <c r="G140" s="103"/>
      <c r="H140" s="110"/>
      <c r="I140" s="104"/>
      <c r="J140" s="39"/>
      <c r="K140" s="39"/>
      <c r="L140" s="33"/>
      <c r="M140" s="107"/>
      <c r="N140" s="33"/>
      <c r="O140" s="33"/>
      <c r="P140" s="39"/>
      <c r="Q140" s="112"/>
      <c r="R140" s="27"/>
      <c r="S140" s="270"/>
      <c r="T140" s="270"/>
      <c r="U140" s="270"/>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row>
    <row r="141" spans="1:46" x14ac:dyDescent="0.25">
      <c r="A141" s="33"/>
      <c r="B141" s="27"/>
      <c r="C141" s="27"/>
      <c r="D141" s="27"/>
      <c r="E141" s="33"/>
      <c r="F141" s="103"/>
      <c r="G141" s="103"/>
      <c r="H141" s="110"/>
      <c r="I141" s="104"/>
      <c r="J141" s="39"/>
      <c r="K141" s="39"/>
      <c r="L141" s="33"/>
      <c r="M141" s="107"/>
      <c r="N141" s="33"/>
      <c r="O141" s="33"/>
      <c r="P141" s="39"/>
      <c r="Q141" s="112"/>
      <c r="R141" s="27"/>
      <c r="S141" s="270"/>
      <c r="T141" s="270"/>
      <c r="U141" s="270"/>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row>
    <row r="142" spans="1:46" x14ac:dyDescent="0.25">
      <c r="A142" s="33"/>
      <c r="B142" s="27"/>
      <c r="C142" s="27"/>
      <c r="D142" s="27"/>
      <c r="E142" s="33"/>
      <c r="F142" s="103"/>
      <c r="G142" s="103"/>
      <c r="H142" s="110"/>
      <c r="I142" s="104"/>
      <c r="J142" s="39"/>
      <c r="K142" s="39"/>
      <c r="L142" s="33"/>
      <c r="M142" s="107"/>
      <c r="N142" s="33"/>
      <c r="O142" s="33"/>
      <c r="P142" s="39"/>
      <c r="Q142" s="112"/>
      <c r="R142" s="27"/>
      <c r="S142" s="270"/>
      <c r="T142" s="270"/>
      <c r="U142" s="270"/>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row>
    <row r="143" spans="1:46" x14ac:dyDescent="0.25">
      <c r="A143" s="33"/>
      <c r="B143" s="27"/>
      <c r="C143" s="27"/>
      <c r="D143" s="27"/>
      <c r="E143" s="33"/>
      <c r="F143" s="103"/>
      <c r="G143" s="103"/>
      <c r="H143" s="110"/>
      <c r="I143" s="104"/>
      <c r="J143" s="39"/>
      <c r="K143" s="39"/>
      <c r="L143" s="33"/>
      <c r="M143" s="107"/>
      <c r="N143" s="33"/>
      <c r="O143" s="33"/>
      <c r="P143" s="39"/>
      <c r="Q143" s="112"/>
      <c r="R143" s="27"/>
      <c r="S143" s="270"/>
      <c r="T143" s="270"/>
      <c r="U143" s="270"/>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row>
    <row r="144" spans="1:46" x14ac:dyDescent="0.25">
      <c r="A144" s="33"/>
      <c r="B144" s="27"/>
      <c r="C144" s="27"/>
      <c r="D144" s="27"/>
      <c r="E144" s="33"/>
      <c r="F144" s="103"/>
      <c r="G144" s="103"/>
      <c r="H144" s="110"/>
      <c r="I144" s="104"/>
      <c r="J144" s="39"/>
      <c r="K144" s="39"/>
      <c r="L144" s="33"/>
      <c r="M144" s="107"/>
      <c r="N144" s="33"/>
      <c r="O144" s="33"/>
      <c r="P144" s="39"/>
      <c r="Q144" s="112"/>
      <c r="R144" s="27"/>
      <c r="S144" s="270"/>
      <c r="T144" s="270"/>
      <c r="U144" s="270"/>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row>
    <row r="145" spans="1:46" x14ac:dyDescent="0.25">
      <c r="A145" s="33"/>
      <c r="B145" s="27"/>
      <c r="C145" s="27"/>
      <c r="D145" s="27"/>
      <c r="E145" s="33"/>
      <c r="F145" s="103"/>
      <c r="G145" s="103"/>
      <c r="H145" s="110"/>
      <c r="I145" s="104"/>
      <c r="J145" s="39"/>
      <c r="K145" s="39"/>
      <c r="L145" s="33"/>
      <c r="M145" s="107"/>
      <c r="N145" s="33"/>
      <c r="O145" s="33"/>
      <c r="P145" s="39"/>
      <c r="Q145" s="112"/>
      <c r="R145" s="27"/>
      <c r="S145" s="270"/>
      <c r="T145" s="270"/>
      <c r="U145" s="270"/>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row>
    <row r="146" spans="1:46" x14ac:dyDescent="0.25">
      <c r="A146" s="33"/>
      <c r="B146" s="27"/>
      <c r="C146" s="27"/>
      <c r="D146" s="27"/>
      <c r="E146" s="33"/>
      <c r="F146" s="103"/>
      <c r="G146" s="103"/>
      <c r="H146" s="110"/>
      <c r="I146" s="104"/>
      <c r="J146" s="39"/>
      <c r="K146" s="39"/>
      <c r="L146" s="33"/>
      <c r="M146" s="107"/>
      <c r="N146" s="33"/>
      <c r="O146" s="33"/>
      <c r="P146" s="39"/>
      <c r="Q146" s="112"/>
      <c r="R146" s="27"/>
      <c r="S146" s="270"/>
      <c r="T146" s="270"/>
      <c r="U146" s="270"/>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row>
    <row r="147" spans="1:46" x14ac:dyDescent="0.25">
      <c r="A147" s="33"/>
      <c r="B147" s="27"/>
      <c r="C147" s="27"/>
      <c r="D147" s="27"/>
      <c r="E147" s="33"/>
      <c r="F147" s="103"/>
      <c r="G147" s="103"/>
      <c r="H147" s="110"/>
      <c r="I147" s="104"/>
      <c r="J147" s="39"/>
      <c r="K147" s="39"/>
      <c r="L147" s="33"/>
      <c r="M147" s="107"/>
      <c r="N147" s="33"/>
      <c r="O147" s="33"/>
      <c r="P147" s="39"/>
      <c r="Q147" s="112"/>
      <c r="R147" s="27"/>
      <c r="S147" s="270"/>
      <c r="T147" s="270"/>
      <c r="U147" s="270"/>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row>
    <row r="148" spans="1:46" x14ac:dyDescent="0.25">
      <c r="A148" s="33"/>
      <c r="B148" s="27"/>
      <c r="C148" s="27"/>
      <c r="D148" s="27"/>
      <c r="E148" s="33"/>
      <c r="F148" s="103"/>
      <c r="G148" s="103"/>
      <c r="H148" s="110"/>
      <c r="I148" s="104"/>
      <c r="J148" s="39"/>
      <c r="K148" s="39"/>
      <c r="L148" s="33"/>
      <c r="M148" s="107"/>
      <c r="N148" s="33"/>
      <c r="O148" s="33"/>
      <c r="P148" s="39"/>
      <c r="Q148" s="112"/>
      <c r="R148" s="27"/>
      <c r="S148" s="270"/>
      <c r="T148" s="270"/>
      <c r="U148" s="270"/>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row>
    <row r="149" spans="1:46" x14ac:dyDescent="0.25">
      <c r="A149" s="33"/>
      <c r="B149" s="27"/>
      <c r="C149" s="27"/>
      <c r="D149" s="27"/>
      <c r="E149" s="33"/>
      <c r="F149" s="103"/>
      <c r="G149" s="103"/>
      <c r="H149" s="110"/>
      <c r="I149" s="104"/>
      <c r="J149" s="39"/>
      <c r="K149" s="39"/>
      <c r="L149" s="33"/>
      <c r="M149" s="107"/>
      <c r="N149" s="33"/>
      <c r="O149" s="33"/>
      <c r="P149" s="39"/>
      <c r="Q149" s="112"/>
      <c r="R149" s="27"/>
      <c r="S149" s="270"/>
      <c r="T149" s="270"/>
      <c r="U149" s="270"/>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row>
    <row r="150" spans="1:46" x14ac:dyDescent="0.25">
      <c r="A150" s="33"/>
      <c r="B150" s="27"/>
      <c r="C150" s="27"/>
      <c r="D150" s="27"/>
      <c r="E150" s="33"/>
      <c r="F150" s="103"/>
      <c r="G150" s="103"/>
      <c r="H150" s="110"/>
      <c r="I150" s="104"/>
      <c r="J150" s="39"/>
      <c r="K150" s="39"/>
      <c r="L150" s="33"/>
      <c r="M150" s="107"/>
      <c r="N150" s="33"/>
      <c r="O150" s="33"/>
      <c r="P150" s="39"/>
      <c r="Q150" s="112"/>
      <c r="R150" s="27"/>
      <c r="S150" s="270"/>
      <c r="T150" s="270"/>
      <c r="U150" s="270"/>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row>
    <row r="151" spans="1:46" x14ac:dyDescent="0.25">
      <c r="A151" s="33"/>
      <c r="B151" s="27"/>
      <c r="C151" s="27"/>
      <c r="D151" s="27"/>
      <c r="E151" s="33"/>
      <c r="F151" s="103"/>
      <c r="G151" s="103"/>
      <c r="H151" s="110"/>
      <c r="I151" s="104"/>
      <c r="J151" s="39"/>
      <c r="K151" s="39"/>
      <c r="L151" s="33"/>
      <c r="M151" s="107"/>
      <c r="N151" s="33"/>
      <c r="O151" s="33"/>
      <c r="P151" s="39"/>
      <c r="Q151" s="112"/>
      <c r="R151" s="27"/>
      <c r="S151" s="270"/>
      <c r="T151" s="270"/>
      <c r="U151" s="270"/>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c r="AS151" s="33"/>
      <c r="AT151" s="33"/>
    </row>
    <row r="152" spans="1:46" x14ac:dyDescent="0.25">
      <c r="A152" s="33"/>
      <c r="B152" s="27"/>
      <c r="C152" s="27"/>
      <c r="D152" s="27"/>
      <c r="E152" s="33"/>
      <c r="F152" s="103"/>
      <c r="G152" s="103"/>
      <c r="H152" s="110"/>
      <c r="I152" s="104"/>
      <c r="J152" s="39"/>
      <c r="K152" s="39"/>
      <c r="L152" s="33"/>
      <c r="M152" s="107"/>
      <c r="N152" s="33"/>
      <c r="O152" s="33"/>
      <c r="P152" s="39"/>
      <c r="Q152" s="112"/>
      <c r="R152" s="27"/>
      <c r="S152" s="270"/>
      <c r="T152" s="270"/>
      <c r="U152" s="270"/>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row>
    <row r="153" spans="1:46" x14ac:dyDescent="0.25">
      <c r="A153" s="33"/>
      <c r="B153" s="27"/>
      <c r="C153" s="27"/>
      <c r="D153" s="27"/>
      <c r="E153" s="33"/>
      <c r="F153" s="103"/>
      <c r="G153" s="103"/>
      <c r="H153" s="110"/>
      <c r="I153" s="104"/>
      <c r="J153" s="39"/>
      <c r="K153" s="39"/>
      <c r="L153" s="33"/>
      <c r="M153" s="107"/>
      <c r="N153" s="33"/>
      <c r="O153" s="33"/>
      <c r="P153" s="39"/>
      <c r="Q153" s="112"/>
      <c r="R153" s="27"/>
      <c r="S153" s="270"/>
      <c r="T153" s="270"/>
      <c r="U153" s="270"/>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c r="AS153" s="33"/>
      <c r="AT153" s="33"/>
    </row>
    <row r="154" spans="1:46" x14ac:dyDescent="0.25">
      <c r="A154" s="33"/>
      <c r="B154" s="27"/>
      <c r="C154" s="27"/>
      <c r="D154" s="27"/>
      <c r="E154" s="33"/>
      <c r="F154" s="103"/>
      <c r="G154" s="103"/>
      <c r="H154" s="110"/>
      <c r="I154" s="104"/>
      <c r="J154" s="39"/>
      <c r="K154" s="39"/>
      <c r="L154" s="33"/>
      <c r="M154" s="107"/>
      <c r="N154" s="33"/>
      <c r="O154" s="33"/>
      <c r="P154" s="39"/>
      <c r="Q154" s="112"/>
      <c r="R154" s="27"/>
      <c r="S154" s="270"/>
      <c r="T154" s="270"/>
      <c r="U154" s="270"/>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c r="AS154" s="33"/>
      <c r="AT154" s="33"/>
    </row>
    <row r="155" spans="1:46" x14ac:dyDescent="0.25">
      <c r="A155" s="33"/>
      <c r="B155" s="27"/>
      <c r="C155" s="27"/>
      <c r="D155" s="27"/>
      <c r="E155" s="33"/>
      <c r="F155" s="103"/>
      <c r="G155" s="103"/>
      <c r="H155" s="110"/>
      <c r="I155" s="104"/>
      <c r="J155" s="39"/>
      <c r="K155" s="39"/>
      <c r="L155" s="33"/>
      <c r="M155" s="107"/>
      <c r="N155" s="33"/>
      <c r="O155" s="33"/>
      <c r="P155" s="39"/>
      <c r="Q155" s="112"/>
      <c r="R155" s="27"/>
      <c r="S155" s="270"/>
      <c r="T155" s="270"/>
      <c r="U155" s="270"/>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row>
    <row r="156" spans="1:46" x14ac:dyDescent="0.25">
      <c r="A156" s="33"/>
      <c r="B156" s="27"/>
      <c r="C156" s="27"/>
      <c r="D156" s="27"/>
      <c r="E156" s="33"/>
      <c r="F156" s="103"/>
      <c r="G156" s="103"/>
      <c r="H156" s="110"/>
      <c r="I156" s="104"/>
      <c r="J156" s="39"/>
      <c r="K156" s="39"/>
      <c r="L156" s="33"/>
      <c r="M156" s="107"/>
      <c r="N156" s="33"/>
      <c r="O156" s="33"/>
      <c r="P156" s="39"/>
      <c r="Q156" s="112"/>
      <c r="R156" s="27"/>
      <c r="S156" s="270"/>
      <c r="T156" s="270"/>
      <c r="U156" s="270"/>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row>
    <row r="157" spans="1:46" x14ac:dyDescent="0.25">
      <c r="A157" s="33"/>
      <c r="B157" s="27"/>
      <c r="C157" s="27"/>
      <c r="D157" s="27"/>
      <c r="E157" s="33"/>
      <c r="F157" s="103"/>
      <c r="G157" s="103"/>
      <c r="H157" s="110"/>
      <c r="I157" s="104"/>
      <c r="J157" s="39"/>
      <c r="K157" s="39"/>
      <c r="L157" s="33"/>
      <c r="M157" s="107"/>
      <c r="N157" s="33"/>
      <c r="O157" s="33"/>
      <c r="P157" s="39"/>
      <c r="Q157" s="112"/>
      <c r="R157" s="27"/>
      <c r="S157" s="270"/>
      <c r="T157" s="270"/>
      <c r="U157" s="270"/>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c r="AS157" s="33"/>
      <c r="AT157" s="33"/>
    </row>
    <row r="158" spans="1:46" x14ac:dyDescent="0.25">
      <c r="A158" s="33"/>
      <c r="B158" s="27"/>
      <c r="C158" s="27"/>
      <c r="D158" s="27"/>
      <c r="E158" s="33"/>
      <c r="F158" s="103"/>
      <c r="G158" s="103"/>
      <c r="H158" s="110"/>
      <c r="I158" s="104"/>
      <c r="J158" s="39"/>
      <c r="K158" s="39"/>
      <c r="L158" s="33"/>
      <c r="M158" s="107"/>
      <c r="N158" s="33"/>
      <c r="O158" s="33"/>
      <c r="P158" s="39"/>
      <c r="Q158" s="112"/>
      <c r="R158" s="27"/>
      <c r="S158" s="270"/>
      <c r="T158" s="270"/>
      <c r="U158" s="270"/>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row>
    <row r="159" spans="1:46" x14ac:dyDescent="0.25">
      <c r="A159" s="33"/>
      <c r="B159" s="27"/>
      <c r="C159" s="27"/>
      <c r="D159" s="27"/>
      <c r="E159" s="33"/>
      <c r="F159" s="103"/>
      <c r="G159" s="103"/>
      <c r="H159" s="110"/>
      <c r="I159" s="104"/>
      <c r="J159" s="39"/>
      <c r="K159" s="39"/>
      <c r="L159" s="33"/>
      <c r="M159" s="107"/>
      <c r="N159" s="33"/>
      <c r="O159" s="33"/>
      <c r="P159" s="39"/>
      <c r="Q159" s="112"/>
      <c r="R159" s="27"/>
      <c r="S159" s="270"/>
      <c r="T159" s="270"/>
      <c r="U159" s="270"/>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c r="AS159" s="33"/>
      <c r="AT159" s="33"/>
    </row>
    <row r="160" spans="1:46" x14ac:dyDescent="0.25">
      <c r="A160" s="33"/>
      <c r="B160" s="27"/>
      <c r="C160" s="27"/>
      <c r="D160" s="27"/>
      <c r="E160" s="33"/>
      <c r="F160" s="103"/>
      <c r="G160" s="103"/>
      <c r="H160" s="110"/>
      <c r="I160" s="104"/>
      <c r="J160" s="39"/>
      <c r="K160" s="39"/>
      <c r="L160" s="33"/>
      <c r="M160" s="107"/>
      <c r="N160" s="33"/>
      <c r="O160" s="33"/>
      <c r="P160" s="39"/>
      <c r="Q160" s="112"/>
      <c r="R160" s="27"/>
      <c r="S160" s="270"/>
      <c r="T160" s="270"/>
      <c r="U160" s="270"/>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c r="AS160" s="33"/>
      <c r="AT160" s="33"/>
    </row>
    <row r="161" spans="1:46" x14ac:dyDescent="0.25">
      <c r="A161" s="33"/>
      <c r="B161" s="27"/>
      <c r="C161" s="27"/>
      <c r="D161" s="27"/>
      <c r="E161" s="33"/>
      <c r="F161" s="103"/>
      <c r="G161" s="103"/>
      <c r="H161" s="110"/>
      <c r="I161" s="104"/>
      <c r="J161" s="39"/>
      <c r="K161" s="39"/>
      <c r="L161" s="33"/>
      <c r="M161" s="107"/>
      <c r="N161" s="33"/>
      <c r="O161" s="33"/>
      <c r="P161" s="39"/>
      <c r="Q161" s="112"/>
      <c r="R161" s="27"/>
      <c r="S161" s="270"/>
      <c r="T161" s="270"/>
      <c r="U161" s="270"/>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c r="AS161" s="33"/>
      <c r="AT161" s="33"/>
    </row>
    <row r="162" spans="1:46" x14ac:dyDescent="0.25">
      <c r="A162" s="33"/>
      <c r="B162" s="27"/>
      <c r="C162" s="27"/>
      <c r="D162" s="27"/>
      <c r="E162" s="33"/>
      <c r="F162" s="103"/>
      <c r="G162" s="103"/>
      <c r="H162" s="110"/>
      <c r="I162" s="104"/>
      <c r="J162" s="39"/>
      <c r="K162" s="39"/>
      <c r="L162" s="33"/>
      <c r="M162" s="107"/>
      <c r="N162" s="33"/>
      <c r="O162" s="33"/>
      <c r="P162" s="39"/>
      <c r="Q162" s="112"/>
      <c r="R162" s="27"/>
      <c r="S162" s="270"/>
      <c r="T162" s="270"/>
      <c r="U162" s="270"/>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c r="AS162" s="33"/>
      <c r="AT162" s="33"/>
    </row>
    <row r="163" spans="1:46" x14ac:dyDescent="0.25">
      <c r="A163" s="33"/>
      <c r="B163" s="27"/>
      <c r="C163" s="27"/>
      <c r="D163" s="27"/>
      <c r="E163" s="33"/>
      <c r="F163" s="103"/>
      <c r="G163" s="103"/>
      <c r="H163" s="110"/>
      <c r="I163" s="104"/>
      <c r="J163" s="39"/>
      <c r="K163" s="39"/>
      <c r="L163" s="33"/>
      <c r="M163" s="107"/>
      <c r="N163" s="33"/>
      <c r="O163" s="33"/>
      <c r="P163" s="39"/>
      <c r="Q163" s="112"/>
      <c r="R163" s="27"/>
      <c r="S163" s="270"/>
      <c r="T163" s="270"/>
      <c r="U163" s="270"/>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c r="AS163" s="33"/>
      <c r="AT163" s="33"/>
    </row>
    <row r="164" spans="1:46" x14ac:dyDescent="0.25">
      <c r="A164" s="33"/>
      <c r="B164" s="27"/>
      <c r="C164" s="27"/>
      <c r="D164" s="27"/>
      <c r="E164" s="33"/>
      <c r="F164" s="103"/>
      <c r="G164" s="103"/>
      <c r="H164" s="110"/>
      <c r="I164" s="104"/>
      <c r="J164" s="39"/>
      <c r="K164" s="39"/>
      <c r="L164" s="33"/>
      <c r="M164" s="107"/>
      <c r="N164" s="33"/>
      <c r="O164" s="33"/>
      <c r="P164" s="39"/>
      <c r="Q164" s="112"/>
      <c r="R164" s="27"/>
      <c r="S164" s="270"/>
      <c r="T164" s="270"/>
      <c r="U164" s="270"/>
      <c r="V164" s="33"/>
      <c r="W164" s="33"/>
      <c r="X164" s="33"/>
      <c r="Y164" s="33"/>
      <c r="Z164" s="33"/>
      <c r="AA164" s="33"/>
      <c r="AB164" s="33"/>
      <c r="AC164" s="33"/>
      <c r="AD164" s="33"/>
      <c r="AE164" s="33"/>
      <c r="AF164" s="33"/>
      <c r="AG164" s="33"/>
      <c r="AH164" s="33"/>
      <c r="AI164" s="33"/>
      <c r="AJ164" s="33"/>
      <c r="AK164" s="33"/>
      <c r="AL164" s="33"/>
      <c r="AM164" s="33"/>
      <c r="AN164" s="33"/>
      <c r="AO164" s="33"/>
      <c r="AP164" s="33"/>
      <c r="AQ164" s="33"/>
      <c r="AR164" s="33"/>
      <c r="AS164" s="33"/>
      <c r="AT164" s="33"/>
    </row>
    <row r="165" spans="1:46" x14ac:dyDescent="0.25">
      <c r="A165" s="33"/>
      <c r="B165" s="27"/>
      <c r="C165" s="27"/>
      <c r="D165" s="27"/>
      <c r="E165" s="33"/>
      <c r="F165" s="103"/>
      <c r="G165" s="103"/>
      <c r="H165" s="110"/>
      <c r="I165" s="104"/>
      <c r="J165" s="39"/>
      <c r="K165" s="39"/>
      <c r="L165" s="33"/>
      <c r="M165" s="107"/>
      <c r="N165" s="33"/>
      <c r="O165" s="33"/>
      <c r="P165" s="39"/>
      <c r="Q165" s="112"/>
      <c r="R165" s="27"/>
      <c r="S165" s="270"/>
      <c r="T165" s="270"/>
      <c r="U165" s="270"/>
      <c r="V165" s="33"/>
      <c r="W165" s="33"/>
      <c r="X165" s="33"/>
      <c r="Y165" s="33"/>
      <c r="Z165" s="33"/>
      <c r="AA165" s="33"/>
      <c r="AB165" s="33"/>
      <c r="AC165" s="33"/>
      <c r="AD165" s="33"/>
      <c r="AE165" s="33"/>
      <c r="AF165" s="33"/>
      <c r="AG165" s="33"/>
      <c r="AH165" s="33"/>
      <c r="AI165" s="33"/>
      <c r="AJ165" s="33"/>
      <c r="AK165" s="33"/>
      <c r="AL165" s="33"/>
      <c r="AM165" s="33"/>
      <c r="AN165" s="33"/>
      <c r="AO165" s="33"/>
      <c r="AP165" s="33"/>
      <c r="AQ165" s="33"/>
      <c r="AR165" s="33"/>
      <c r="AS165" s="33"/>
      <c r="AT165" s="33"/>
    </row>
    <row r="166" spans="1:46" x14ac:dyDescent="0.25">
      <c r="A166" s="33"/>
      <c r="B166" s="27"/>
      <c r="C166" s="27"/>
      <c r="D166" s="27"/>
      <c r="E166" s="33"/>
      <c r="F166" s="103"/>
      <c r="G166" s="103"/>
      <c r="H166" s="110"/>
      <c r="I166" s="104"/>
      <c r="J166" s="39"/>
      <c r="K166" s="39"/>
      <c r="L166" s="33"/>
      <c r="M166" s="107"/>
      <c r="N166" s="33"/>
      <c r="O166" s="33"/>
      <c r="P166" s="39"/>
      <c r="Q166" s="112"/>
      <c r="R166" s="27"/>
      <c r="S166" s="270"/>
      <c r="T166" s="270"/>
      <c r="U166" s="270"/>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c r="AS166" s="33"/>
      <c r="AT166" s="33"/>
    </row>
    <row r="167" spans="1:46" x14ac:dyDescent="0.25">
      <c r="A167" s="33"/>
      <c r="B167" s="27"/>
      <c r="C167" s="27"/>
      <c r="D167" s="27"/>
      <c r="E167" s="33"/>
      <c r="F167" s="103"/>
      <c r="G167" s="103"/>
      <c r="H167" s="110"/>
      <c r="I167" s="104"/>
      <c r="J167" s="39"/>
      <c r="K167" s="39"/>
      <c r="L167" s="33"/>
      <c r="M167" s="107"/>
      <c r="N167" s="33"/>
      <c r="O167" s="33"/>
      <c r="P167" s="39"/>
      <c r="Q167" s="112"/>
      <c r="R167" s="27"/>
      <c r="S167" s="270"/>
      <c r="T167" s="270"/>
      <c r="U167" s="270"/>
      <c r="V167" s="33"/>
      <c r="W167" s="33"/>
      <c r="X167" s="33"/>
      <c r="Y167" s="33"/>
      <c r="Z167" s="33"/>
      <c r="AA167" s="33"/>
      <c r="AB167" s="33"/>
      <c r="AC167" s="33"/>
      <c r="AD167" s="33"/>
      <c r="AE167" s="33"/>
      <c r="AF167" s="33"/>
      <c r="AG167" s="33"/>
      <c r="AH167" s="33"/>
      <c r="AI167" s="33"/>
      <c r="AJ167" s="33"/>
      <c r="AK167" s="33"/>
      <c r="AL167" s="33"/>
      <c r="AM167" s="33"/>
      <c r="AN167" s="33"/>
      <c r="AO167" s="33"/>
      <c r="AP167" s="33"/>
      <c r="AQ167" s="33"/>
      <c r="AR167" s="33"/>
      <c r="AS167" s="33"/>
      <c r="AT167" s="33"/>
    </row>
    <row r="168" spans="1:46" x14ac:dyDescent="0.25">
      <c r="A168" s="33"/>
      <c r="B168" s="27"/>
      <c r="C168" s="27"/>
      <c r="D168" s="27"/>
      <c r="E168" s="33"/>
      <c r="F168" s="103"/>
      <c r="G168" s="103"/>
      <c r="H168" s="110"/>
      <c r="I168" s="104"/>
      <c r="J168" s="39"/>
      <c r="K168" s="39"/>
      <c r="L168" s="33"/>
      <c r="M168" s="107"/>
      <c r="N168" s="33"/>
      <c r="O168" s="33"/>
      <c r="P168" s="39"/>
      <c r="Q168" s="112"/>
      <c r="R168" s="27"/>
      <c r="S168" s="270"/>
      <c r="T168" s="270"/>
      <c r="U168" s="270"/>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c r="AS168" s="33"/>
      <c r="AT168" s="33"/>
    </row>
  </sheetData>
  <sheetProtection algorithmName="SHA-512" hashValue="UYxjBdE3QtS0rOu2H+WS0zlqx+ZUzAzWunWx2Q1L0CEcHxBpOcbmahQknMiDF2PWaj7QF3hXs4CdJ5gbEMx/cg==" saltValue="uspXJib7tb88GHdxXIVbXQ==" spinCount="100000" sheet="1" objects="1" scenarios="1"/>
  <protectedRanges>
    <protectedRange sqref="E11:E107 E109" name="ID.AM_2"/>
  </protectedRanges>
  <mergeCells count="41">
    <mergeCell ref="O3:P3"/>
    <mergeCell ref="O5:P5"/>
    <mergeCell ref="R8:R10"/>
    <mergeCell ref="R7:V7"/>
    <mergeCell ref="V8:V10"/>
    <mergeCell ref="S8:S10"/>
    <mergeCell ref="T8:T10"/>
    <mergeCell ref="U8:U10"/>
    <mergeCell ref="F7:Q7"/>
    <mergeCell ref="I9:I10"/>
    <mergeCell ref="J9:J10"/>
    <mergeCell ref="A2:I3"/>
    <mergeCell ref="J5:N5"/>
    <mergeCell ref="J3:N3"/>
    <mergeCell ref="Q9:Q10"/>
    <mergeCell ref="H9:H10"/>
    <mergeCell ref="A109:D109"/>
    <mergeCell ref="A11:A48"/>
    <mergeCell ref="B48:D48"/>
    <mergeCell ref="B57:D57"/>
    <mergeCell ref="A49:A57"/>
    <mergeCell ref="B72:D72"/>
    <mergeCell ref="A58:A72"/>
    <mergeCell ref="E8:E10"/>
    <mergeCell ref="B107:D107"/>
    <mergeCell ref="A73:A107"/>
    <mergeCell ref="A7:A10"/>
    <mergeCell ref="B7:B10"/>
    <mergeCell ref="C7:C10"/>
    <mergeCell ref="D7:D10"/>
    <mergeCell ref="P9:P10"/>
    <mergeCell ref="F8:I8"/>
    <mergeCell ref="J8:M8"/>
    <mergeCell ref="N8:Q8"/>
    <mergeCell ref="F9:F10"/>
    <mergeCell ref="G9:G10"/>
    <mergeCell ref="O9:O10"/>
    <mergeCell ref="L9:L10"/>
    <mergeCell ref="M9:M10"/>
    <mergeCell ref="N9:N10"/>
    <mergeCell ref="K9:K10"/>
  </mergeCells>
  <phoneticPr fontId="1" type="noConversion"/>
  <conditionalFormatting sqref="E11:E107">
    <cfRule type="cellIs" dxfId="5" priority="4" operator="equal">
      <formula>"High"</formula>
    </cfRule>
    <cfRule type="cellIs" dxfId="4" priority="5" operator="equal">
      <formula>"Medium"</formula>
    </cfRule>
    <cfRule type="cellIs" dxfId="3" priority="6" operator="equal">
      <formula>"Low"</formula>
    </cfRule>
  </conditionalFormatting>
  <conditionalFormatting sqref="E109">
    <cfRule type="cellIs" dxfId="2" priority="1" operator="equal">
      <formula>"High"</formula>
    </cfRule>
    <cfRule type="cellIs" dxfId="1" priority="2" operator="equal">
      <formula>"Low"</formula>
    </cfRule>
    <cfRule type="cellIs" dxfId="0" priority="3" operator="equal">
      <formula>"Medium"</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F30B4684-2DDC-40C8-B02E-BB6BC24388A6}">
          <x14:formula1>
            <xm:f>'Values VSE and BFE'!$A$3:$A$6</xm:f>
          </x14:formula1>
          <xm:sqref>O3</xm:sqref>
        </x14:dataValidation>
        <x14:dataValidation type="list" allowBlank="1" showInputMessage="1" showErrorMessage="1" xr:uid="{DAF9478A-9886-4CF6-BAB4-68D8FFD10CF0}">
          <x14:formula1>
            <xm:f>'Values VSE and BFE'!$A$3:$A$5</xm:f>
          </x14:formula1>
          <xm:sqref>O5</xm:sqref>
        </x14:dataValidation>
        <x14:dataValidation type="list" allowBlank="1" showInputMessage="1" showErrorMessage="1" xr:uid="{258E11FF-9DCB-4E93-9C36-783C37F20E57}">
          <x14:formula1>
            <xm:f>'Values VSE and BFE'!$E$3:$E$5</xm:f>
          </x14:formula1>
          <xm:sqref>E11:E107 E109</xm:sqref>
        </x14:dataValidation>
        <x14:dataValidation type="list" allowBlank="1" showInputMessage="1" showErrorMessage="1" xr:uid="{60537361-2057-48DA-B0A9-48D6F650D66F}">
          <x14:formula1>
            <xm:f>'Assistance Information'!$A$5:$A$10</xm:f>
          </x14:formula1>
          <xm:sqref>J11:J107 F109 N109 J109 F11:F107 N11:N107</xm:sqref>
        </x14:dataValidation>
        <x14:dataValidation type="list" allowBlank="1" showInputMessage="1" showErrorMessage="1" xr:uid="{51342BBA-850B-4041-B43A-EDEEEFCF25B0}">
          <x14:formula1>
            <xm:f>'Assistance Information'!$D$5:$D$10</xm:f>
          </x14:formula1>
          <xm:sqref>K73:L106 O73:P106 O58:P71 G58:H71 K58:L71 K49:L56 O11:P47 G49:H56 G11:H47 O49:P56 G73:H106 K11:L47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30305-489E-411C-BB07-35BE607339CF}">
  <sheetPr>
    <tabColor rgb="FF00FFFF"/>
    <pageSetUpPr fitToPage="1"/>
  </sheetPr>
  <dimension ref="A1:U150"/>
  <sheetViews>
    <sheetView zoomScale="70" zoomScaleNormal="70" workbookViewId="0">
      <selection activeCell="E52" sqref="E52"/>
    </sheetView>
  </sheetViews>
  <sheetFormatPr baseColWidth="10" defaultColWidth="11.42578125" defaultRowHeight="14.25" x14ac:dyDescent="0.2"/>
  <cols>
    <col min="1" max="1" width="53.85546875" style="178" customWidth="1"/>
    <col min="2" max="2" width="30.7109375" style="117" customWidth="1"/>
    <col min="3" max="4" width="30.7109375" style="179" customWidth="1"/>
    <col min="5" max="6" width="30.7109375" style="178" customWidth="1"/>
    <col min="7" max="7" width="30.7109375" style="179" customWidth="1"/>
    <col min="8" max="8" width="10.85546875" style="179" customWidth="1"/>
    <col min="9" max="9" width="11.42578125" style="161"/>
    <col min="10" max="10" width="27.28515625" style="180" bestFit="1" customWidth="1"/>
    <col min="11" max="11" width="8.5703125" style="181" bestFit="1" customWidth="1"/>
    <col min="12" max="12" width="7.28515625" style="181" bestFit="1" customWidth="1"/>
    <col min="13" max="16384" width="11.42578125" style="161"/>
  </cols>
  <sheetData>
    <row r="1" spans="1:21" x14ac:dyDescent="0.2">
      <c r="A1" s="157"/>
      <c r="B1" s="158"/>
      <c r="C1" s="158"/>
      <c r="D1" s="158"/>
      <c r="E1" s="157"/>
      <c r="F1" s="157"/>
      <c r="G1" s="157"/>
      <c r="H1" s="157"/>
      <c r="I1" s="157"/>
      <c r="J1" s="159"/>
      <c r="K1" s="160"/>
      <c r="L1" s="160"/>
      <c r="M1" s="157"/>
      <c r="N1" s="157"/>
      <c r="O1" s="157"/>
      <c r="P1" s="157"/>
      <c r="Q1" s="157"/>
      <c r="R1" s="157"/>
      <c r="S1" s="157"/>
      <c r="T1" s="157"/>
      <c r="U1" s="157"/>
    </row>
    <row r="2" spans="1:21" ht="26.25" x14ac:dyDescent="0.4">
      <c r="A2" s="441" t="s">
        <v>614</v>
      </c>
      <c r="B2" s="441"/>
      <c r="C2" s="441"/>
      <c r="D2" s="441"/>
      <c r="E2" s="162"/>
      <c r="F2" s="162"/>
      <c r="G2" s="162"/>
      <c r="H2" s="162"/>
      <c r="I2" s="162"/>
      <c r="J2" s="163"/>
      <c r="K2" s="164"/>
      <c r="L2" s="164"/>
      <c r="M2" s="162"/>
      <c r="N2" s="162"/>
      <c r="O2" s="162"/>
      <c r="P2" s="162"/>
      <c r="Q2" s="162"/>
      <c r="R2" s="162"/>
      <c r="S2" s="162"/>
      <c r="T2" s="162"/>
      <c r="U2" s="162"/>
    </row>
    <row r="3" spans="1:21" ht="5.0999999999999996" customHeight="1" thickBot="1" x14ac:dyDescent="0.25">
      <c r="A3" s="165"/>
      <c r="B3" s="166"/>
      <c r="C3" s="166"/>
      <c r="D3" s="166"/>
      <c r="E3" s="165"/>
      <c r="F3" s="165"/>
      <c r="G3" s="165"/>
      <c r="H3" s="165"/>
      <c r="I3" s="165"/>
      <c r="J3" s="167"/>
      <c r="K3" s="168"/>
      <c r="L3" s="168"/>
      <c r="M3" s="165"/>
      <c r="N3" s="165"/>
      <c r="O3" s="165"/>
      <c r="P3" s="165"/>
      <c r="Q3" s="165"/>
      <c r="R3" s="165"/>
      <c r="S3" s="165"/>
      <c r="T3" s="165"/>
      <c r="U3" s="165"/>
    </row>
    <row r="4" spans="1:21" ht="5.0999999999999996" customHeight="1" x14ac:dyDescent="0.2">
      <c r="A4" s="157"/>
      <c r="B4" s="158"/>
      <c r="C4" s="158"/>
      <c r="D4" s="158"/>
      <c r="E4" s="157"/>
      <c r="F4" s="157"/>
      <c r="G4" s="157"/>
      <c r="H4" s="157"/>
      <c r="I4" s="157"/>
      <c r="J4" s="159"/>
      <c r="K4" s="160"/>
      <c r="L4" s="160"/>
      <c r="M4" s="157"/>
      <c r="N4" s="157"/>
      <c r="O4" s="157"/>
      <c r="P4" s="157"/>
      <c r="Q4" s="157"/>
      <c r="R4" s="157"/>
      <c r="S4" s="157"/>
      <c r="T4" s="157"/>
      <c r="U4" s="157"/>
    </row>
    <row r="5" spans="1:21" ht="20.25" x14ac:dyDescent="0.2">
      <c r="A5" s="14" t="s">
        <v>615</v>
      </c>
      <c r="B5" s="158"/>
      <c r="C5" s="158"/>
      <c r="D5" s="97" t="str">
        <f>'Assessment Tool ISO 27001'!J3</f>
        <v>Grid operator area</v>
      </c>
      <c r="E5" s="14">
        <f>'Assessment Tool ISO 27001'!M3</f>
        <v>0</v>
      </c>
      <c r="F5" s="14"/>
      <c r="G5" s="14"/>
      <c r="H5" s="14"/>
      <c r="I5" s="14"/>
      <c r="J5" s="14"/>
      <c r="K5" s="14"/>
      <c r="L5" s="14"/>
      <c r="M5" s="14"/>
      <c r="N5" s="14"/>
      <c r="O5" s="14"/>
      <c r="P5" s="14"/>
      <c r="Q5" s="14"/>
      <c r="R5" s="14"/>
      <c r="S5" s="14"/>
      <c r="T5" s="14"/>
      <c r="U5" s="14"/>
    </row>
    <row r="6" spans="1:21" ht="5.0999999999999996" customHeight="1" x14ac:dyDescent="0.2">
      <c r="A6" s="14"/>
      <c r="B6" s="158"/>
      <c r="C6" s="158"/>
      <c r="D6" s="97"/>
      <c r="E6" s="14"/>
      <c r="F6" s="14"/>
      <c r="G6" s="14"/>
      <c r="H6" s="14"/>
      <c r="I6" s="14"/>
      <c r="J6" s="14"/>
      <c r="K6" s="14"/>
      <c r="L6" s="14"/>
      <c r="M6" s="14"/>
      <c r="N6" s="14"/>
      <c r="O6" s="14"/>
      <c r="P6" s="14"/>
      <c r="Q6" s="14"/>
      <c r="R6" s="14"/>
      <c r="S6" s="14"/>
      <c r="T6" s="14"/>
      <c r="U6" s="14"/>
    </row>
    <row r="7" spans="1:21" ht="20.25" x14ac:dyDescent="0.2">
      <c r="A7" s="14"/>
      <c r="B7" s="158"/>
      <c r="C7" s="158"/>
      <c r="D7" s="97"/>
      <c r="E7" s="14"/>
      <c r="F7" s="14"/>
      <c r="G7" s="14"/>
      <c r="H7" s="14"/>
      <c r="I7" s="14"/>
      <c r="J7" s="14"/>
      <c r="K7" s="14"/>
      <c r="L7" s="14"/>
      <c r="M7" s="14"/>
      <c r="N7" s="14"/>
      <c r="O7" s="14"/>
      <c r="P7" s="14"/>
      <c r="Q7" s="14"/>
      <c r="R7" s="14"/>
      <c r="S7" s="14"/>
      <c r="T7" s="14"/>
      <c r="U7" s="14"/>
    </row>
    <row r="8" spans="1:21" ht="5.0999999999999996" customHeight="1" thickBot="1" x14ac:dyDescent="0.25">
      <c r="A8" s="14"/>
      <c r="B8" s="158"/>
      <c r="C8" s="158"/>
      <c r="D8" s="97"/>
      <c r="E8" s="11"/>
      <c r="F8" s="11"/>
      <c r="G8" s="169"/>
      <c r="H8" s="169"/>
      <c r="I8" s="169"/>
      <c r="J8" s="169"/>
      <c r="K8" s="97"/>
      <c r="L8" s="97"/>
      <c r="M8" s="169"/>
      <c r="N8" s="169"/>
      <c r="O8" s="169"/>
      <c r="P8" s="169"/>
      <c r="Q8" s="169"/>
      <c r="R8" s="169"/>
      <c r="S8" s="169"/>
      <c r="T8" s="169"/>
      <c r="U8" s="169"/>
    </row>
    <row r="9" spans="1:21" ht="27.95" customHeight="1" x14ac:dyDescent="0.2">
      <c r="A9" s="435" t="s">
        <v>0</v>
      </c>
      <c r="B9" s="437" t="s">
        <v>611</v>
      </c>
      <c r="C9" s="438"/>
      <c r="D9" s="439" t="s">
        <v>612</v>
      </c>
      <c r="E9" s="440"/>
      <c r="F9" s="433" t="s">
        <v>613</v>
      </c>
      <c r="G9" s="434"/>
      <c r="H9" s="170"/>
      <c r="I9" s="170"/>
      <c r="J9" s="171"/>
      <c r="K9" s="172"/>
      <c r="L9" s="172"/>
      <c r="M9" s="170"/>
      <c r="N9" s="170"/>
      <c r="O9" s="170"/>
      <c r="P9" s="170"/>
      <c r="Q9" s="170"/>
      <c r="R9" s="170"/>
      <c r="S9" s="170"/>
      <c r="T9" s="170"/>
      <c r="U9" s="170"/>
    </row>
    <row r="10" spans="1:21" ht="27.95" customHeight="1" thickBot="1" x14ac:dyDescent="0.25">
      <c r="A10" s="436"/>
      <c r="B10" s="189" t="s">
        <v>492</v>
      </c>
      <c r="C10" s="189" t="s">
        <v>493</v>
      </c>
      <c r="D10" s="190" t="s">
        <v>492</v>
      </c>
      <c r="E10" s="190" t="s">
        <v>493</v>
      </c>
      <c r="F10" s="191" t="s">
        <v>492</v>
      </c>
      <c r="G10" s="192" t="s">
        <v>493</v>
      </c>
      <c r="H10" s="170"/>
      <c r="I10" s="170"/>
      <c r="J10" s="171"/>
      <c r="K10" s="172"/>
      <c r="L10" s="172"/>
      <c r="M10" s="170"/>
      <c r="N10" s="170"/>
      <c r="O10" s="170"/>
      <c r="P10" s="170"/>
      <c r="Q10" s="170"/>
      <c r="R10" s="170"/>
      <c r="S10" s="170"/>
      <c r="T10" s="170"/>
      <c r="U10" s="170"/>
    </row>
    <row r="11" spans="1:21" ht="30" customHeight="1" x14ac:dyDescent="0.2">
      <c r="A11" s="193" t="str">
        <f>'Assessment Tool ISO 27001'!A11</f>
        <v>5 Organisatorische Controls</v>
      </c>
      <c r="B11" s="194">
        <f>'Assessment Tool ISO 27001'!G48</f>
        <v>2.2702702702702702</v>
      </c>
      <c r="C11" s="194">
        <f>'Assessment Tool ISO 27001'!H48</f>
        <v>3.4054054054054053</v>
      </c>
      <c r="D11" s="194">
        <f>'Assessment Tool ISO 27001'!K48</f>
        <v>2.1621621621621623</v>
      </c>
      <c r="E11" s="194">
        <f>'Assessment Tool ISO 27001'!L48</f>
        <v>3.2162162162162162</v>
      </c>
      <c r="F11" s="194">
        <f>'Assessment Tool ISO 27001'!O48</f>
        <v>2.2162162162162162</v>
      </c>
      <c r="G11" s="195">
        <f>'Assessment Tool ISO 27001'!P48</f>
        <v>3.0540540540540539</v>
      </c>
      <c r="H11" s="170"/>
      <c r="I11" s="170"/>
      <c r="J11" s="171"/>
      <c r="K11" s="172"/>
      <c r="L11" s="172"/>
      <c r="M11" s="170"/>
      <c r="N11" s="170"/>
      <c r="O11" s="170"/>
      <c r="P11" s="170"/>
      <c r="Q11" s="170"/>
      <c r="R11" s="170"/>
      <c r="S11" s="170"/>
      <c r="T11" s="170"/>
      <c r="U11" s="170"/>
    </row>
    <row r="12" spans="1:21" ht="30" customHeight="1" x14ac:dyDescent="0.2">
      <c r="A12" s="196" t="str">
        <f>'Assessment Tool ISO 27001'!A49</f>
        <v>6 Personelle Controls</v>
      </c>
      <c r="B12" s="197">
        <f>'Assessment Tool ISO 27001'!G57</f>
        <v>2.75</v>
      </c>
      <c r="C12" s="197">
        <f>'Assessment Tool ISO 27001'!H57</f>
        <v>3.625</v>
      </c>
      <c r="D12" s="197">
        <f>'Assessment Tool ISO 27001'!K57</f>
        <v>2.125</v>
      </c>
      <c r="E12" s="197">
        <f>'Assessment Tool ISO 27001'!L57</f>
        <v>3.5</v>
      </c>
      <c r="F12" s="197">
        <f>'Assessment Tool ISO 27001'!O57</f>
        <v>2</v>
      </c>
      <c r="G12" s="198">
        <f>'Assessment Tool ISO 27001'!P57</f>
        <v>3.5</v>
      </c>
      <c r="H12" s="170"/>
      <c r="I12" s="170"/>
      <c r="J12" s="171"/>
      <c r="K12" s="173"/>
      <c r="L12" s="173"/>
      <c r="M12" s="170"/>
      <c r="N12" s="170"/>
      <c r="O12" s="170"/>
      <c r="P12" s="170"/>
      <c r="Q12" s="170"/>
      <c r="R12" s="170"/>
      <c r="S12" s="170"/>
      <c r="T12" s="170"/>
      <c r="U12" s="170"/>
    </row>
    <row r="13" spans="1:21" ht="30" customHeight="1" x14ac:dyDescent="0.2">
      <c r="A13" s="199" t="str">
        <f>'Assessment Tool ISO 27001'!A58</f>
        <v>7 Physische Controls</v>
      </c>
      <c r="B13" s="200">
        <f>'Assessment Tool ISO 27001'!G72</f>
        <v>2.3571428571428572</v>
      </c>
      <c r="C13" s="200">
        <f>'Assessment Tool ISO 27001'!H72</f>
        <v>3.5</v>
      </c>
      <c r="D13" s="200">
        <f>'Assessment Tool ISO 27001'!K72</f>
        <v>2.1428571428571428</v>
      </c>
      <c r="E13" s="200">
        <f>'Assessment Tool ISO 27001'!L72</f>
        <v>3.1428571428571428</v>
      </c>
      <c r="F13" s="200">
        <f>'Assessment Tool ISO 27001'!O72</f>
        <v>1.9285714285714286</v>
      </c>
      <c r="G13" s="201">
        <f>'Assessment Tool ISO 27001'!P72</f>
        <v>2.8571428571428572</v>
      </c>
      <c r="H13" s="170"/>
      <c r="I13" s="170"/>
      <c r="J13" s="171"/>
      <c r="K13" s="172"/>
      <c r="L13" s="172"/>
      <c r="M13" s="170"/>
      <c r="N13" s="170"/>
      <c r="O13" s="170"/>
      <c r="P13" s="170"/>
      <c r="Q13" s="170"/>
      <c r="R13" s="170"/>
      <c r="S13" s="170"/>
      <c r="T13" s="170"/>
      <c r="U13" s="170"/>
    </row>
    <row r="14" spans="1:21" ht="30" customHeight="1" thickBot="1" x14ac:dyDescent="0.25">
      <c r="A14" s="202" t="str">
        <f>'Assessment Tool ISO 27001'!A73</f>
        <v>8 Technologische Controls</v>
      </c>
      <c r="B14" s="203">
        <f>'Assessment Tool ISO 27001'!G107</f>
        <v>2.1764705882352939</v>
      </c>
      <c r="C14" s="203">
        <f>'Assessment Tool ISO 27001'!H107</f>
        <v>3.5</v>
      </c>
      <c r="D14" s="203">
        <f>'Assessment Tool ISO 27001'!K107</f>
        <v>1.9705882352941178</v>
      </c>
      <c r="E14" s="203">
        <f>'Assessment Tool ISO 27001'!L107</f>
        <v>3</v>
      </c>
      <c r="F14" s="203">
        <f>'Assessment Tool ISO 27001'!O107</f>
        <v>2.0294117647058822</v>
      </c>
      <c r="G14" s="204">
        <f>'Assessment Tool ISO 27001'!P107</f>
        <v>2.7647058823529411</v>
      </c>
      <c r="H14" s="170"/>
      <c r="I14" s="170"/>
      <c r="J14" s="171"/>
      <c r="K14" s="172"/>
      <c r="L14" s="172"/>
      <c r="M14" s="170"/>
      <c r="N14" s="170"/>
      <c r="O14" s="170"/>
      <c r="P14" s="170"/>
      <c r="Q14" s="170"/>
      <c r="R14" s="170"/>
      <c r="S14" s="170"/>
      <c r="T14" s="170"/>
      <c r="U14" s="170"/>
    </row>
    <row r="15" spans="1:21" ht="5.0999999999999996" customHeight="1" thickBot="1" x14ac:dyDescent="0.25">
      <c r="A15" s="174"/>
      <c r="B15" s="120"/>
      <c r="C15" s="175"/>
      <c r="D15" s="175"/>
      <c r="E15" s="174"/>
      <c r="F15" s="174"/>
      <c r="G15" s="176"/>
      <c r="H15" s="170"/>
      <c r="I15" s="170"/>
      <c r="J15" s="171"/>
      <c r="K15" s="172"/>
      <c r="L15" s="172"/>
      <c r="M15" s="170"/>
      <c r="N15" s="170"/>
      <c r="O15" s="170"/>
      <c r="P15" s="170"/>
      <c r="Q15" s="170"/>
      <c r="R15" s="170"/>
      <c r="S15" s="170"/>
      <c r="T15" s="170"/>
      <c r="U15" s="170"/>
    </row>
    <row r="16" spans="1:21" ht="36.75" thickBot="1" x14ac:dyDescent="0.25">
      <c r="A16" s="212" t="s">
        <v>610</v>
      </c>
      <c r="B16" s="213">
        <f>'Assessment Tool ISO 27001'!G109</f>
        <v>2.3884709289121053</v>
      </c>
      <c r="C16" s="214">
        <f>'Assessment Tool ISO 27001'!H109</f>
        <v>3.5076013513513513</v>
      </c>
      <c r="D16" s="214">
        <f>'Assessment Tool ISO 27001'!K109</f>
        <v>2.1001518850783558</v>
      </c>
      <c r="E16" s="213">
        <f>'Assessment Tool ISO 27001'!L109</f>
        <v>3.2147683397683395</v>
      </c>
      <c r="F16" s="213">
        <f>'Assessment Tool ISO 27001'!O109</f>
        <v>2.0435498523733817</v>
      </c>
      <c r="G16" s="215">
        <f>'Assessment Tool ISO 27001'!P109</f>
        <v>3.0439756983874631</v>
      </c>
      <c r="H16" s="170"/>
      <c r="I16" s="170"/>
      <c r="J16" s="171"/>
      <c r="K16" s="172"/>
      <c r="L16" s="172"/>
      <c r="M16" s="170"/>
      <c r="N16" s="170"/>
      <c r="O16" s="170"/>
      <c r="P16" s="170"/>
      <c r="Q16" s="170"/>
      <c r="R16" s="170"/>
      <c r="S16" s="170"/>
      <c r="T16" s="170"/>
      <c r="U16" s="170"/>
    </row>
    <row r="17" spans="1:21" x14ac:dyDescent="0.2">
      <c r="A17" s="174"/>
      <c r="B17" s="120"/>
      <c r="C17" s="176"/>
      <c r="D17" s="176"/>
      <c r="E17" s="174"/>
      <c r="F17" s="174"/>
      <c r="G17" s="176"/>
      <c r="H17" s="170"/>
      <c r="I17" s="170"/>
      <c r="J17" s="171"/>
      <c r="K17" s="172"/>
      <c r="L17" s="172"/>
      <c r="M17" s="170"/>
      <c r="N17" s="170"/>
      <c r="O17" s="170"/>
      <c r="P17" s="170"/>
      <c r="Q17" s="170"/>
      <c r="R17" s="170"/>
      <c r="S17" s="170"/>
      <c r="T17" s="170"/>
      <c r="U17" s="170"/>
    </row>
    <row r="18" spans="1:21" x14ac:dyDescent="0.2">
      <c r="A18" s="174"/>
      <c r="B18" s="120"/>
      <c r="C18" s="176"/>
      <c r="D18" s="176"/>
      <c r="E18" s="174"/>
      <c r="F18" s="174"/>
      <c r="G18" s="176"/>
      <c r="H18" s="174"/>
      <c r="I18" s="120"/>
      <c r="J18" s="176"/>
      <c r="K18" s="176"/>
      <c r="L18" s="174"/>
      <c r="M18" s="174"/>
      <c r="N18" s="176"/>
      <c r="O18" s="174"/>
      <c r="P18" s="120"/>
      <c r="Q18" s="176"/>
      <c r="R18" s="176"/>
      <c r="S18" s="174"/>
      <c r="T18" s="174"/>
      <c r="U18" s="176"/>
    </row>
    <row r="19" spans="1:21" x14ac:dyDescent="0.2">
      <c r="A19" s="174"/>
      <c r="B19" s="120"/>
      <c r="C19" s="176"/>
      <c r="D19" s="176"/>
      <c r="E19" s="174"/>
      <c r="F19" s="174"/>
      <c r="G19" s="176"/>
      <c r="H19" s="174"/>
      <c r="I19" s="120"/>
      <c r="J19" s="176"/>
      <c r="K19" s="176"/>
      <c r="L19" s="174"/>
      <c r="M19" s="174"/>
      <c r="N19" s="176"/>
      <c r="O19" s="174"/>
      <c r="P19" s="120"/>
      <c r="Q19" s="176"/>
      <c r="R19" s="176"/>
      <c r="S19" s="174"/>
      <c r="T19" s="174"/>
      <c r="U19" s="176"/>
    </row>
    <row r="20" spans="1:21" x14ac:dyDescent="0.2">
      <c r="A20" s="174"/>
      <c r="B20" s="120"/>
      <c r="C20" s="176"/>
      <c r="D20" s="176"/>
      <c r="E20" s="174"/>
      <c r="F20" s="174"/>
      <c r="G20" s="176"/>
      <c r="H20" s="174"/>
      <c r="I20" s="120"/>
      <c r="J20" s="176"/>
      <c r="K20" s="176"/>
      <c r="L20" s="174"/>
      <c r="M20" s="174"/>
      <c r="N20" s="176"/>
      <c r="O20" s="174"/>
      <c r="P20" s="120"/>
      <c r="Q20" s="176"/>
      <c r="R20" s="176"/>
      <c r="S20" s="174"/>
      <c r="T20" s="174"/>
      <c r="U20" s="176"/>
    </row>
    <row r="21" spans="1:21" x14ac:dyDescent="0.2">
      <c r="A21" s="174"/>
      <c r="B21" s="120"/>
      <c r="C21" s="176"/>
      <c r="D21" s="176"/>
      <c r="E21" s="174"/>
      <c r="F21" s="174"/>
      <c r="G21" s="176"/>
      <c r="H21" s="174"/>
      <c r="I21" s="120"/>
      <c r="J21" s="176"/>
      <c r="K21" s="176"/>
      <c r="L21" s="174"/>
      <c r="M21" s="174"/>
      <c r="N21" s="176"/>
      <c r="O21" s="174"/>
      <c r="P21" s="120"/>
      <c r="Q21" s="176"/>
      <c r="R21" s="176"/>
      <c r="S21" s="174"/>
      <c r="T21" s="174"/>
      <c r="U21" s="176"/>
    </row>
    <row r="22" spans="1:21" x14ac:dyDescent="0.2">
      <c r="A22" s="174"/>
      <c r="B22" s="120"/>
      <c r="C22" s="176"/>
      <c r="D22" s="176"/>
      <c r="E22" s="174"/>
      <c r="F22" s="174"/>
      <c r="G22" s="176"/>
      <c r="H22" s="174"/>
      <c r="I22" s="120"/>
      <c r="J22" s="176"/>
      <c r="K22" s="176"/>
      <c r="L22" s="174"/>
      <c r="M22" s="174"/>
      <c r="N22" s="176"/>
      <c r="O22" s="174"/>
      <c r="P22" s="120"/>
      <c r="Q22" s="176"/>
      <c r="R22" s="176"/>
      <c r="S22" s="174"/>
      <c r="T22" s="174"/>
      <c r="U22" s="176"/>
    </row>
    <row r="23" spans="1:21" x14ac:dyDescent="0.2">
      <c r="A23" s="174"/>
      <c r="B23" s="120"/>
      <c r="C23" s="176"/>
      <c r="D23" s="176"/>
      <c r="E23" s="174"/>
      <c r="F23" s="174"/>
      <c r="G23" s="176"/>
      <c r="H23" s="174"/>
      <c r="I23" s="120"/>
      <c r="J23" s="176"/>
      <c r="K23" s="176"/>
      <c r="L23" s="174"/>
      <c r="M23" s="174"/>
      <c r="N23" s="176"/>
      <c r="O23" s="174"/>
      <c r="P23" s="120"/>
      <c r="Q23" s="176"/>
      <c r="R23" s="176"/>
      <c r="S23" s="174"/>
      <c r="T23" s="174"/>
      <c r="U23" s="176"/>
    </row>
    <row r="24" spans="1:21" x14ac:dyDescent="0.2">
      <c r="A24" s="174"/>
      <c r="B24" s="120"/>
      <c r="C24" s="176"/>
      <c r="D24" s="176"/>
      <c r="E24" s="174"/>
      <c r="F24" s="174"/>
      <c r="G24" s="176"/>
      <c r="H24" s="174"/>
      <c r="I24" s="120"/>
      <c r="J24" s="176"/>
      <c r="K24" s="176"/>
      <c r="L24" s="174"/>
      <c r="M24" s="174"/>
      <c r="N24" s="176"/>
      <c r="O24" s="174"/>
      <c r="P24" s="120"/>
      <c r="Q24" s="176"/>
      <c r="R24" s="176"/>
      <c r="S24" s="174"/>
      <c r="T24" s="174"/>
      <c r="U24" s="176"/>
    </row>
    <row r="25" spans="1:21" x14ac:dyDescent="0.2">
      <c r="A25" s="174"/>
      <c r="B25" s="120"/>
      <c r="C25" s="176"/>
      <c r="D25" s="176"/>
      <c r="E25" s="174"/>
      <c r="F25" s="174"/>
      <c r="G25" s="176"/>
      <c r="H25" s="174"/>
      <c r="I25" s="120"/>
      <c r="J25" s="176"/>
      <c r="K25" s="176"/>
      <c r="L25" s="174"/>
      <c r="M25" s="174"/>
      <c r="N25" s="176"/>
      <c r="O25" s="174"/>
      <c r="P25" s="120"/>
      <c r="Q25" s="176"/>
      <c r="R25" s="176"/>
      <c r="S25" s="174"/>
      <c r="T25" s="174"/>
      <c r="U25" s="176"/>
    </row>
    <row r="26" spans="1:21" x14ac:dyDescent="0.2">
      <c r="A26" s="174"/>
      <c r="B26" s="120"/>
      <c r="C26" s="176"/>
      <c r="D26" s="176"/>
      <c r="E26" s="174"/>
      <c r="F26" s="174"/>
      <c r="G26" s="176"/>
      <c r="H26" s="174"/>
      <c r="I26" s="120"/>
      <c r="J26" s="176"/>
      <c r="K26" s="176"/>
      <c r="L26" s="174"/>
      <c r="M26" s="174"/>
      <c r="N26" s="176"/>
      <c r="O26" s="174"/>
      <c r="P26" s="120"/>
      <c r="Q26" s="176"/>
      <c r="R26" s="176"/>
      <c r="S26" s="174"/>
      <c r="T26" s="174"/>
      <c r="U26" s="176"/>
    </row>
    <row r="27" spans="1:21" x14ac:dyDescent="0.2">
      <c r="A27" s="174"/>
      <c r="B27" s="120"/>
      <c r="C27" s="176"/>
      <c r="D27" s="176"/>
      <c r="E27" s="174"/>
      <c r="F27" s="174"/>
      <c r="G27" s="176"/>
      <c r="H27" s="174"/>
      <c r="I27" s="120"/>
      <c r="J27" s="176"/>
      <c r="K27" s="176"/>
      <c r="L27" s="174"/>
      <c r="M27" s="174"/>
      <c r="N27" s="176"/>
      <c r="O27" s="174"/>
      <c r="P27" s="120"/>
      <c r="Q27" s="176"/>
      <c r="R27" s="176"/>
      <c r="S27" s="174"/>
      <c r="T27" s="174"/>
      <c r="U27" s="176"/>
    </row>
    <row r="28" spans="1:21" x14ac:dyDescent="0.2">
      <c r="A28" s="174"/>
      <c r="B28" s="120"/>
      <c r="C28" s="176"/>
      <c r="D28" s="176"/>
      <c r="E28" s="174"/>
      <c r="F28" s="174"/>
      <c r="G28" s="176"/>
      <c r="H28" s="174"/>
      <c r="I28" s="120"/>
      <c r="J28" s="176"/>
      <c r="K28" s="176"/>
      <c r="L28" s="174"/>
      <c r="M28" s="174"/>
      <c r="N28" s="176"/>
      <c r="O28" s="174"/>
      <c r="P28" s="120"/>
      <c r="Q28" s="176"/>
      <c r="R28" s="176"/>
      <c r="S28" s="174"/>
      <c r="T28" s="174"/>
      <c r="U28" s="176"/>
    </row>
    <row r="29" spans="1:21" x14ac:dyDescent="0.2">
      <c r="A29" s="174"/>
      <c r="B29" s="120"/>
      <c r="C29" s="176"/>
      <c r="D29" s="176"/>
      <c r="E29" s="174"/>
      <c r="F29" s="174"/>
      <c r="G29" s="176"/>
      <c r="H29" s="174"/>
      <c r="I29" s="120"/>
      <c r="J29" s="176"/>
      <c r="K29" s="176"/>
      <c r="L29" s="174"/>
      <c r="M29" s="174"/>
      <c r="N29" s="176"/>
      <c r="O29" s="174"/>
      <c r="P29" s="120"/>
      <c r="Q29" s="176"/>
      <c r="R29" s="176"/>
      <c r="S29" s="174"/>
      <c r="T29" s="174"/>
      <c r="U29" s="176"/>
    </row>
    <row r="30" spans="1:21" x14ac:dyDescent="0.2">
      <c r="A30" s="174"/>
      <c r="B30" s="120"/>
      <c r="C30" s="176"/>
      <c r="D30" s="176"/>
      <c r="E30" s="174"/>
      <c r="F30" s="174"/>
      <c r="G30" s="176"/>
      <c r="H30" s="174"/>
      <c r="I30" s="120"/>
      <c r="J30" s="176"/>
      <c r="K30" s="176"/>
      <c r="L30" s="174"/>
      <c r="M30" s="174"/>
      <c r="N30" s="176"/>
      <c r="O30" s="174"/>
      <c r="P30" s="120"/>
      <c r="Q30" s="176"/>
      <c r="R30" s="176"/>
      <c r="S30" s="174"/>
      <c r="T30" s="174"/>
      <c r="U30" s="176"/>
    </row>
    <row r="31" spans="1:21" x14ac:dyDescent="0.2">
      <c r="A31" s="174"/>
      <c r="B31" s="120"/>
      <c r="C31" s="176"/>
      <c r="D31" s="176"/>
      <c r="E31" s="174"/>
      <c r="F31" s="174"/>
      <c r="G31" s="176"/>
      <c r="H31" s="174"/>
      <c r="I31" s="120"/>
      <c r="J31" s="176"/>
      <c r="K31" s="176"/>
      <c r="L31" s="174"/>
      <c r="M31" s="174"/>
      <c r="N31" s="176"/>
      <c r="O31" s="174"/>
      <c r="P31" s="120"/>
      <c r="Q31" s="176"/>
      <c r="R31" s="176"/>
      <c r="S31" s="174"/>
      <c r="T31" s="174"/>
      <c r="U31" s="176"/>
    </row>
    <row r="32" spans="1:21" x14ac:dyDescent="0.2">
      <c r="A32" s="174"/>
      <c r="B32" s="120"/>
      <c r="C32" s="176"/>
      <c r="D32" s="176"/>
      <c r="E32" s="174"/>
      <c r="F32" s="174"/>
      <c r="G32" s="176"/>
      <c r="H32" s="174"/>
      <c r="I32" s="120"/>
      <c r="J32" s="176"/>
      <c r="K32" s="176"/>
      <c r="L32" s="174"/>
      <c r="M32" s="174"/>
      <c r="N32" s="176"/>
      <c r="O32" s="174"/>
      <c r="P32" s="120"/>
      <c r="Q32" s="176"/>
      <c r="R32" s="176"/>
      <c r="S32" s="174"/>
      <c r="T32" s="174"/>
      <c r="U32" s="176"/>
    </row>
    <row r="33" spans="1:21" x14ac:dyDescent="0.2">
      <c r="A33" s="174"/>
      <c r="B33" s="120"/>
      <c r="C33" s="176"/>
      <c r="D33" s="176"/>
      <c r="E33" s="174"/>
      <c r="F33" s="174"/>
      <c r="G33" s="176"/>
      <c r="H33" s="174"/>
      <c r="I33" s="120"/>
      <c r="J33" s="176"/>
      <c r="K33" s="176"/>
      <c r="L33" s="174"/>
      <c r="M33" s="174"/>
      <c r="N33" s="176"/>
      <c r="O33" s="174"/>
      <c r="P33" s="120"/>
      <c r="Q33" s="176"/>
      <c r="R33" s="176"/>
      <c r="S33" s="174"/>
      <c r="T33" s="174"/>
      <c r="U33" s="176"/>
    </row>
    <row r="34" spans="1:21" x14ac:dyDescent="0.2">
      <c r="A34" s="174"/>
      <c r="B34" s="120"/>
      <c r="C34" s="176"/>
      <c r="D34" s="176"/>
      <c r="E34" s="174"/>
      <c r="F34" s="174"/>
      <c r="G34" s="176"/>
      <c r="H34" s="174"/>
      <c r="I34" s="120"/>
      <c r="J34" s="176"/>
      <c r="K34" s="176"/>
      <c r="L34" s="174"/>
      <c r="M34" s="174"/>
      <c r="N34" s="176"/>
      <c r="O34" s="174"/>
      <c r="P34" s="120"/>
      <c r="Q34" s="176"/>
      <c r="R34" s="176"/>
      <c r="S34" s="174"/>
      <c r="T34" s="174"/>
      <c r="U34" s="176"/>
    </row>
    <row r="35" spans="1:21" x14ac:dyDescent="0.2">
      <c r="A35" s="174"/>
      <c r="B35" s="120"/>
      <c r="C35" s="176"/>
      <c r="D35" s="176"/>
      <c r="E35" s="174"/>
      <c r="F35" s="174"/>
      <c r="G35" s="176"/>
      <c r="H35" s="174"/>
      <c r="I35" s="120"/>
      <c r="J35" s="176"/>
      <c r="K35" s="176"/>
      <c r="L35" s="174"/>
      <c r="M35" s="174"/>
      <c r="N35" s="176"/>
      <c r="O35" s="174"/>
      <c r="P35" s="120"/>
      <c r="Q35" s="176"/>
      <c r="R35" s="176"/>
      <c r="S35" s="174"/>
      <c r="T35" s="174"/>
      <c r="U35" s="176"/>
    </row>
    <row r="36" spans="1:21" x14ac:dyDescent="0.2">
      <c r="A36" s="174"/>
      <c r="B36" s="120"/>
      <c r="C36" s="176"/>
      <c r="D36" s="176"/>
      <c r="E36" s="174"/>
      <c r="F36" s="174"/>
      <c r="G36" s="176"/>
      <c r="H36" s="174"/>
      <c r="I36" s="120"/>
      <c r="J36" s="176"/>
      <c r="K36" s="176"/>
      <c r="L36" s="174"/>
      <c r="M36" s="174"/>
      <c r="N36" s="176"/>
      <c r="O36" s="174"/>
      <c r="P36" s="120"/>
      <c r="Q36" s="176"/>
      <c r="R36" s="176"/>
      <c r="S36" s="174"/>
      <c r="T36" s="174"/>
      <c r="U36" s="176"/>
    </row>
    <row r="37" spans="1:21" s="177" customFormat="1" ht="18" x14ac:dyDescent="0.25">
      <c r="A37" s="174"/>
      <c r="B37" s="120"/>
      <c r="C37" s="176"/>
      <c r="D37" s="176"/>
      <c r="E37" s="174"/>
      <c r="F37" s="174"/>
      <c r="G37" s="176"/>
      <c r="H37" s="174"/>
      <c r="I37" s="120"/>
      <c r="J37" s="176"/>
      <c r="K37" s="176"/>
      <c r="L37" s="174"/>
      <c r="M37" s="174"/>
      <c r="N37" s="176"/>
      <c r="O37" s="174"/>
      <c r="P37" s="120"/>
      <c r="Q37" s="176"/>
      <c r="R37" s="176"/>
      <c r="S37" s="174"/>
      <c r="T37" s="174"/>
      <c r="U37" s="176"/>
    </row>
    <row r="38" spans="1:21" x14ac:dyDescent="0.2">
      <c r="A38" s="174"/>
      <c r="B38" s="120"/>
      <c r="C38" s="176"/>
      <c r="D38" s="176"/>
      <c r="E38" s="174"/>
      <c r="F38" s="174"/>
      <c r="G38" s="176"/>
      <c r="H38" s="174"/>
      <c r="I38" s="120"/>
      <c r="J38" s="176"/>
      <c r="K38" s="176"/>
      <c r="L38" s="174"/>
      <c r="M38" s="174"/>
      <c r="N38" s="176"/>
      <c r="O38" s="174"/>
      <c r="P38" s="120"/>
      <c r="Q38" s="176"/>
      <c r="R38" s="176"/>
      <c r="S38" s="174"/>
      <c r="T38" s="174"/>
      <c r="U38" s="176"/>
    </row>
    <row r="39" spans="1:21" x14ac:dyDescent="0.2">
      <c r="A39" s="174"/>
      <c r="B39" s="120"/>
      <c r="C39" s="176"/>
      <c r="D39" s="176"/>
      <c r="E39" s="174"/>
      <c r="F39" s="174"/>
      <c r="G39" s="176"/>
      <c r="H39" s="174"/>
      <c r="I39" s="120"/>
      <c r="J39" s="176"/>
      <c r="K39" s="176"/>
      <c r="L39" s="174"/>
      <c r="M39" s="174"/>
      <c r="N39" s="176"/>
      <c r="O39" s="174"/>
      <c r="P39" s="120"/>
      <c r="Q39" s="176"/>
      <c r="R39" s="176"/>
      <c r="S39" s="174"/>
      <c r="T39" s="174"/>
      <c r="U39" s="176"/>
    </row>
    <row r="40" spans="1:21" x14ac:dyDescent="0.2">
      <c r="A40" s="174"/>
      <c r="B40" s="120"/>
      <c r="C40" s="176"/>
      <c r="D40" s="176"/>
      <c r="E40" s="174"/>
      <c r="F40" s="174"/>
      <c r="G40" s="176"/>
      <c r="H40" s="174"/>
      <c r="I40" s="120"/>
      <c r="J40" s="176"/>
      <c r="K40" s="176"/>
      <c r="L40" s="174"/>
      <c r="M40" s="174"/>
      <c r="N40" s="176"/>
      <c r="O40" s="174"/>
      <c r="P40" s="120"/>
      <c r="Q40" s="176"/>
      <c r="R40" s="176"/>
      <c r="S40" s="174"/>
      <c r="T40" s="174"/>
      <c r="U40" s="176"/>
    </row>
    <row r="41" spans="1:21" x14ac:dyDescent="0.2">
      <c r="A41" s="174"/>
      <c r="B41" s="120"/>
      <c r="C41" s="176"/>
      <c r="D41" s="176"/>
      <c r="E41" s="174"/>
      <c r="F41" s="174"/>
      <c r="G41" s="176"/>
      <c r="H41" s="174"/>
      <c r="I41" s="120"/>
      <c r="J41" s="176"/>
      <c r="K41" s="176"/>
      <c r="L41" s="174"/>
      <c r="M41" s="174"/>
      <c r="N41" s="176"/>
      <c r="O41" s="174"/>
      <c r="P41" s="120"/>
      <c r="Q41" s="176"/>
      <c r="R41" s="176"/>
      <c r="S41" s="174"/>
      <c r="T41" s="174"/>
      <c r="U41" s="176"/>
    </row>
    <row r="42" spans="1:21" x14ac:dyDescent="0.2">
      <c r="A42" s="174"/>
      <c r="B42" s="120"/>
      <c r="C42" s="176"/>
      <c r="D42" s="176"/>
      <c r="E42" s="174"/>
      <c r="F42" s="174"/>
      <c r="G42" s="176"/>
      <c r="H42" s="174"/>
      <c r="I42" s="120"/>
      <c r="J42" s="176"/>
      <c r="K42" s="176"/>
      <c r="L42" s="174"/>
      <c r="M42" s="174"/>
      <c r="N42" s="176"/>
      <c r="O42" s="174"/>
      <c r="P42" s="120"/>
      <c r="Q42" s="176"/>
      <c r="R42" s="176"/>
      <c r="S42" s="174"/>
      <c r="T42" s="174"/>
      <c r="U42" s="176"/>
    </row>
    <row r="43" spans="1:21" x14ac:dyDescent="0.2">
      <c r="A43" s="174"/>
      <c r="B43" s="120"/>
      <c r="C43" s="176"/>
      <c r="D43" s="176"/>
      <c r="E43" s="174"/>
      <c r="F43" s="174"/>
      <c r="G43" s="176"/>
      <c r="H43" s="174"/>
      <c r="I43" s="120"/>
      <c r="J43" s="176"/>
      <c r="K43" s="176"/>
      <c r="L43" s="174"/>
      <c r="M43" s="174"/>
      <c r="N43" s="176"/>
      <c r="O43" s="174"/>
      <c r="P43" s="120"/>
      <c r="Q43" s="176"/>
      <c r="R43" s="176"/>
      <c r="S43" s="174"/>
      <c r="T43" s="174"/>
      <c r="U43" s="176"/>
    </row>
    <row r="44" spans="1:21" x14ac:dyDescent="0.2">
      <c r="A44" s="174"/>
      <c r="B44" s="120"/>
      <c r="C44" s="176"/>
      <c r="D44" s="176"/>
      <c r="E44" s="174"/>
      <c r="F44" s="174"/>
      <c r="G44" s="176"/>
      <c r="H44" s="174"/>
      <c r="I44" s="120"/>
      <c r="J44" s="176"/>
      <c r="K44" s="176"/>
      <c r="L44" s="174"/>
      <c r="M44" s="174"/>
      <c r="N44" s="176"/>
      <c r="O44" s="174"/>
      <c r="P44" s="120"/>
      <c r="Q44" s="176"/>
      <c r="R44" s="176"/>
      <c r="S44" s="174"/>
      <c r="T44" s="174"/>
      <c r="U44" s="176"/>
    </row>
    <row r="45" spans="1:21" x14ac:dyDescent="0.2">
      <c r="A45" s="174"/>
      <c r="B45" s="120"/>
      <c r="C45" s="176"/>
      <c r="D45" s="176"/>
      <c r="E45" s="174"/>
      <c r="F45" s="174"/>
      <c r="G45" s="176"/>
      <c r="H45" s="174"/>
      <c r="I45" s="120"/>
      <c r="J45" s="176"/>
      <c r="K45" s="176"/>
      <c r="L45" s="174"/>
      <c r="M45" s="174"/>
      <c r="N45" s="176"/>
      <c r="O45" s="174"/>
      <c r="P45" s="120"/>
      <c r="Q45" s="176"/>
      <c r="R45" s="176"/>
      <c r="S45" s="174"/>
      <c r="T45" s="174"/>
      <c r="U45" s="176"/>
    </row>
    <row r="46" spans="1:21" x14ac:dyDescent="0.2">
      <c r="A46" s="174"/>
      <c r="B46" s="120"/>
      <c r="C46" s="176"/>
      <c r="D46" s="176"/>
      <c r="E46" s="174"/>
      <c r="F46" s="174"/>
      <c r="G46" s="176"/>
      <c r="H46" s="174"/>
      <c r="I46" s="120"/>
      <c r="J46" s="176"/>
      <c r="K46" s="176"/>
      <c r="L46" s="174"/>
      <c r="M46" s="174"/>
      <c r="N46" s="176"/>
      <c r="O46" s="174"/>
      <c r="P46" s="120"/>
      <c r="Q46" s="176"/>
      <c r="R46" s="176"/>
      <c r="S46" s="174"/>
      <c r="T46" s="174"/>
      <c r="U46" s="176"/>
    </row>
    <row r="47" spans="1:21" x14ac:dyDescent="0.2">
      <c r="A47" s="174"/>
      <c r="B47" s="120"/>
      <c r="C47" s="176"/>
      <c r="D47" s="176"/>
      <c r="E47" s="174"/>
      <c r="F47" s="174"/>
      <c r="G47" s="176"/>
      <c r="H47" s="174"/>
      <c r="I47" s="120"/>
      <c r="J47" s="176"/>
      <c r="K47" s="176"/>
      <c r="L47" s="174"/>
      <c r="M47" s="174"/>
      <c r="N47" s="176"/>
      <c r="O47" s="174"/>
      <c r="P47" s="120"/>
      <c r="Q47" s="176"/>
      <c r="R47" s="176"/>
      <c r="S47" s="174"/>
      <c r="T47" s="174"/>
      <c r="U47" s="176"/>
    </row>
    <row r="48" spans="1:21" x14ac:dyDescent="0.2">
      <c r="A48" s="174"/>
      <c r="B48" s="120"/>
      <c r="C48" s="176"/>
      <c r="D48" s="176"/>
      <c r="E48" s="174"/>
      <c r="F48" s="174"/>
      <c r="G48" s="176"/>
      <c r="H48" s="174"/>
      <c r="I48" s="120"/>
      <c r="J48" s="176"/>
      <c r="K48" s="176"/>
      <c r="L48" s="174"/>
      <c r="M48" s="174"/>
      <c r="N48" s="176"/>
      <c r="O48" s="174"/>
      <c r="P48" s="120"/>
      <c r="Q48" s="176"/>
      <c r="R48" s="176"/>
      <c r="S48" s="174"/>
      <c r="T48" s="174"/>
      <c r="U48" s="176"/>
    </row>
    <row r="49" spans="1:21" x14ac:dyDescent="0.2">
      <c r="A49" s="174"/>
      <c r="B49" s="120"/>
      <c r="C49" s="176"/>
      <c r="D49" s="176"/>
      <c r="E49" s="174"/>
      <c r="F49" s="174"/>
      <c r="G49" s="176"/>
      <c r="H49" s="174"/>
      <c r="I49" s="120"/>
      <c r="J49" s="176"/>
      <c r="K49" s="176"/>
      <c r="L49" s="174"/>
      <c r="M49" s="174"/>
      <c r="N49" s="176"/>
      <c r="O49" s="174"/>
      <c r="P49" s="120"/>
      <c r="Q49" s="176"/>
      <c r="R49" s="176"/>
      <c r="S49" s="174"/>
      <c r="T49" s="174"/>
      <c r="U49" s="176"/>
    </row>
    <row r="50" spans="1:21" x14ac:dyDescent="0.2">
      <c r="A50" s="174"/>
      <c r="B50" s="120"/>
      <c r="C50" s="176"/>
      <c r="D50" s="176"/>
      <c r="E50" s="174"/>
      <c r="F50" s="174"/>
      <c r="G50" s="176"/>
      <c r="H50" s="174"/>
      <c r="I50" s="120"/>
      <c r="J50" s="176"/>
      <c r="K50" s="176"/>
      <c r="L50" s="174"/>
      <c r="M50" s="174"/>
      <c r="N50" s="176"/>
      <c r="O50" s="174"/>
      <c r="P50" s="120"/>
      <c r="Q50" s="176"/>
      <c r="R50" s="176"/>
      <c r="S50" s="174"/>
      <c r="T50" s="174"/>
      <c r="U50" s="176"/>
    </row>
    <row r="51" spans="1:21" x14ac:dyDescent="0.2">
      <c r="A51" s="174"/>
      <c r="B51" s="120"/>
      <c r="C51" s="176"/>
      <c r="D51" s="176"/>
      <c r="E51" s="174"/>
      <c r="F51" s="174"/>
      <c r="G51" s="176"/>
      <c r="H51" s="174"/>
      <c r="I51" s="120"/>
      <c r="J51" s="176"/>
      <c r="K51" s="176"/>
      <c r="L51" s="174"/>
      <c r="M51" s="174"/>
      <c r="N51" s="176"/>
      <c r="O51" s="174"/>
      <c r="P51" s="120"/>
      <c r="Q51" s="176"/>
      <c r="R51" s="176"/>
      <c r="S51" s="174"/>
      <c r="T51" s="174"/>
      <c r="U51" s="176"/>
    </row>
    <row r="52" spans="1:21" x14ac:dyDescent="0.2">
      <c r="A52" s="174"/>
      <c r="B52" s="120"/>
      <c r="C52" s="176"/>
      <c r="D52" s="176"/>
      <c r="E52" s="174"/>
      <c r="F52" s="174"/>
      <c r="G52" s="176"/>
      <c r="H52" s="174"/>
      <c r="I52" s="120"/>
      <c r="J52" s="176"/>
      <c r="K52" s="176"/>
      <c r="L52" s="174"/>
      <c r="M52" s="174"/>
      <c r="N52" s="176"/>
      <c r="O52" s="174"/>
      <c r="P52" s="120"/>
      <c r="Q52" s="176"/>
      <c r="R52" s="176"/>
      <c r="S52" s="174"/>
      <c r="T52" s="174"/>
      <c r="U52" s="176"/>
    </row>
    <row r="53" spans="1:21" x14ac:dyDescent="0.2">
      <c r="A53" s="174"/>
      <c r="B53" s="120"/>
      <c r="C53" s="176"/>
      <c r="D53" s="176"/>
      <c r="E53" s="174"/>
      <c r="F53" s="174"/>
      <c r="G53" s="176"/>
      <c r="H53" s="174"/>
      <c r="I53" s="120"/>
      <c r="J53" s="176"/>
      <c r="K53" s="176"/>
      <c r="L53" s="174"/>
      <c r="M53" s="174"/>
      <c r="N53" s="176"/>
      <c r="O53" s="174"/>
      <c r="P53" s="120"/>
      <c r="Q53" s="176"/>
      <c r="R53" s="176"/>
      <c r="S53" s="174"/>
      <c r="T53" s="174"/>
      <c r="U53" s="176"/>
    </row>
    <row r="54" spans="1:21" x14ac:dyDescent="0.2">
      <c r="A54" s="174"/>
      <c r="B54" s="120"/>
      <c r="C54" s="176"/>
      <c r="D54" s="176"/>
      <c r="E54" s="174"/>
      <c r="F54" s="174"/>
      <c r="G54" s="176"/>
      <c r="H54" s="174"/>
      <c r="I54" s="120"/>
      <c r="J54" s="176"/>
      <c r="K54" s="176"/>
      <c r="L54" s="174"/>
      <c r="M54" s="174"/>
      <c r="N54" s="176"/>
      <c r="O54" s="174"/>
      <c r="P54" s="120"/>
      <c r="Q54" s="176"/>
      <c r="R54" s="176"/>
      <c r="S54" s="174"/>
      <c r="T54" s="174"/>
      <c r="U54" s="176"/>
    </row>
    <row r="55" spans="1:21" x14ac:dyDescent="0.2">
      <c r="A55" s="174"/>
      <c r="B55" s="120"/>
      <c r="C55" s="176"/>
      <c r="D55" s="176"/>
      <c r="E55" s="174"/>
      <c r="F55" s="174"/>
      <c r="G55" s="176"/>
      <c r="H55" s="174"/>
      <c r="I55" s="120"/>
      <c r="J55" s="176"/>
      <c r="K55" s="176"/>
      <c r="L55" s="174"/>
      <c r="M55" s="174"/>
      <c r="N55" s="176"/>
      <c r="O55" s="174"/>
      <c r="P55" s="120"/>
      <c r="Q55" s="176"/>
      <c r="R55" s="176"/>
      <c r="S55" s="174"/>
      <c r="T55" s="174"/>
      <c r="U55" s="176"/>
    </row>
    <row r="56" spans="1:21" x14ac:dyDescent="0.2">
      <c r="A56" s="174"/>
      <c r="B56" s="120"/>
      <c r="C56" s="176"/>
      <c r="D56" s="176"/>
      <c r="E56" s="174"/>
      <c r="F56" s="174"/>
      <c r="G56" s="176"/>
      <c r="H56" s="174"/>
      <c r="I56" s="120"/>
      <c r="J56" s="176"/>
      <c r="K56" s="176"/>
      <c r="L56" s="174"/>
      <c r="M56" s="174"/>
      <c r="N56" s="176"/>
      <c r="O56" s="174"/>
      <c r="P56" s="120"/>
      <c r="Q56" s="176"/>
      <c r="R56" s="176"/>
      <c r="S56" s="174"/>
      <c r="T56" s="174"/>
      <c r="U56" s="176"/>
    </row>
    <row r="57" spans="1:21" x14ac:dyDescent="0.2">
      <c r="A57" s="174"/>
      <c r="B57" s="120"/>
      <c r="C57" s="176"/>
      <c r="D57" s="176"/>
      <c r="E57" s="174"/>
      <c r="F57" s="174"/>
      <c r="G57" s="176"/>
      <c r="H57" s="174"/>
      <c r="I57" s="120"/>
      <c r="J57" s="176"/>
      <c r="K57" s="176"/>
      <c r="L57" s="174"/>
      <c r="M57" s="174"/>
      <c r="N57" s="176"/>
      <c r="O57" s="174"/>
      <c r="P57" s="120"/>
      <c r="Q57" s="176"/>
      <c r="R57" s="176"/>
      <c r="S57" s="174"/>
      <c r="T57" s="174"/>
      <c r="U57" s="176"/>
    </row>
    <row r="58" spans="1:21" x14ac:dyDescent="0.2">
      <c r="A58" s="174"/>
      <c r="B58" s="120"/>
      <c r="C58" s="176"/>
      <c r="D58" s="176"/>
      <c r="E58" s="174"/>
      <c r="F58" s="174"/>
      <c r="G58" s="176"/>
      <c r="H58" s="174"/>
      <c r="I58" s="120"/>
      <c r="J58" s="176"/>
      <c r="K58" s="176"/>
      <c r="L58" s="174"/>
      <c r="M58" s="174"/>
      <c r="N58" s="176"/>
      <c r="O58" s="174"/>
      <c r="P58" s="120"/>
      <c r="Q58" s="176"/>
      <c r="R58" s="176"/>
      <c r="S58" s="174"/>
      <c r="T58" s="174"/>
      <c r="U58" s="176"/>
    </row>
    <row r="59" spans="1:21" x14ac:dyDescent="0.2">
      <c r="A59" s="174"/>
      <c r="B59" s="120"/>
      <c r="C59" s="176"/>
      <c r="D59" s="176"/>
      <c r="E59" s="174"/>
      <c r="F59" s="174"/>
      <c r="G59" s="176"/>
      <c r="H59" s="174"/>
      <c r="I59" s="120"/>
      <c r="J59" s="176"/>
      <c r="K59" s="176"/>
      <c r="L59" s="174"/>
      <c r="M59" s="174"/>
      <c r="N59" s="176"/>
      <c r="O59" s="174"/>
      <c r="P59" s="120"/>
      <c r="Q59" s="176"/>
      <c r="R59" s="176"/>
      <c r="S59" s="174"/>
      <c r="T59" s="174"/>
      <c r="U59" s="176"/>
    </row>
    <row r="60" spans="1:21" x14ac:dyDescent="0.2">
      <c r="A60" s="174"/>
      <c r="B60" s="120"/>
      <c r="C60" s="176"/>
      <c r="D60" s="176"/>
      <c r="E60" s="174"/>
      <c r="F60" s="174"/>
      <c r="G60" s="176"/>
      <c r="H60" s="174"/>
      <c r="I60" s="120"/>
      <c r="J60" s="176"/>
      <c r="K60" s="176"/>
      <c r="L60" s="174"/>
      <c r="M60" s="174"/>
      <c r="N60" s="176"/>
      <c r="O60" s="174"/>
      <c r="P60" s="120"/>
      <c r="Q60" s="176"/>
      <c r="R60" s="176"/>
      <c r="S60" s="174"/>
      <c r="T60" s="174"/>
      <c r="U60" s="176"/>
    </row>
    <row r="61" spans="1:21" x14ac:dyDescent="0.2">
      <c r="A61" s="174"/>
      <c r="B61" s="120"/>
      <c r="C61" s="176"/>
      <c r="D61" s="176"/>
      <c r="E61" s="174"/>
      <c r="F61" s="174"/>
      <c r="G61" s="176"/>
      <c r="H61" s="174"/>
      <c r="I61" s="120"/>
      <c r="J61" s="176"/>
      <c r="K61" s="176"/>
      <c r="L61" s="174"/>
      <c r="M61" s="174"/>
      <c r="N61" s="176"/>
      <c r="O61" s="174"/>
      <c r="P61" s="120"/>
      <c r="Q61" s="176"/>
      <c r="R61" s="176"/>
      <c r="S61" s="174"/>
      <c r="T61" s="174"/>
      <c r="U61" s="176"/>
    </row>
    <row r="62" spans="1:21" x14ac:dyDescent="0.2">
      <c r="A62" s="174"/>
      <c r="B62" s="120"/>
      <c r="C62" s="176"/>
      <c r="D62" s="176"/>
      <c r="E62" s="174"/>
      <c r="F62" s="174"/>
      <c r="G62" s="176"/>
      <c r="H62" s="174"/>
      <c r="I62" s="120"/>
      <c r="J62" s="176"/>
      <c r="K62" s="176"/>
      <c r="L62" s="174"/>
      <c r="M62" s="174"/>
      <c r="N62" s="176"/>
      <c r="O62" s="174"/>
      <c r="P62" s="120"/>
      <c r="Q62" s="176"/>
      <c r="R62" s="176"/>
      <c r="S62" s="174"/>
      <c r="T62" s="174"/>
      <c r="U62" s="176"/>
    </row>
    <row r="63" spans="1:21" x14ac:dyDescent="0.2">
      <c r="A63" s="174"/>
      <c r="B63" s="120"/>
      <c r="C63" s="176"/>
      <c r="D63" s="176"/>
      <c r="E63" s="174"/>
      <c r="F63" s="174"/>
      <c r="G63" s="176"/>
      <c r="H63" s="174"/>
      <c r="I63" s="120"/>
      <c r="J63" s="176"/>
      <c r="K63" s="176"/>
      <c r="L63" s="174"/>
      <c r="M63" s="174"/>
      <c r="N63" s="176"/>
      <c r="O63" s="174"/>
      <c r="P63" s="120"/>
      <c r="Q63" s="176"/>
      <c r="R63" s="176"/>
      <c r="S63" s="174"/>
      <c r="T63" s="174"/>
      <c r="U63" s="176"/>
    </row>
    <row r="64" spans="1:21" x14ac:dyDescent="0.2">
      <c r="A64" s="174"/>
      <c r="B64" s="120"/>
      <c r="C64" s="176"/>
      <c r="D64" s="176"/>
      <c r="E64" s="174"/>
      <c r="F64" s="174"/>
      <c r="G64" s="176"/>
      <c r="H64" s="174"/>
      <c r="I64" s="120"/>
      <c r="J64" s="176"/>
      <c r="K64" s="176"/>
      <c r="L64" s="174"/>
      <c r="M64" s="174"/>
      <c r="N64" s="176"/>
      <c r="O64" s="174"/>
      <c r="P64" s="120"/>
      <c r="Q64" s="176"/>
      <c r="R64" s="176"/>
      <c r="S64" s="174"/>
      <c r="T64" s="174"/>
      <c r="U64" s="176"/>
    </row>
    <row r="65" spans="1:21" x14ac:dyDescent="0.2">
      <c r="A65" s="174"/>
      <c r="B65" s="120"/>
      <c r="C65" s="176"/>
      <c r="D65" s="176"/>
      <c r="E65" s="174"/>
      <c r="F65" s="174"/>
      <c r="G65" s="176"/>
      <c r="H65" s="174"/>
      <c r="I65" s="120"/>
      <c r="J65" s="176"/>
      <c r="K65" s="176"/>
      <c r="L65" s="174"/>
      <c r="M65" s="174"/>
      <c r="N65" s="176"/>
      <c r="O65" s="174"/>
      <c r="P65" s="120"/>
      <c r="Q65" s="176"/>
      <c r="R65" s="176"/>
      <c r="S65" s="174"/>
      <c r="T65" s="174"/>
      <c r="U65" s="176"/>
    </row>
    <row r="66" spans="1:21" x14ac:dyDescent="0.2">
      <c r="A66" s="174"/>
      <c r="B66" s="120"/>
      <c r="C66" s="176"/>
      <c r="D66" s="176"/>
      <c r="E66" s="174"/>
      <c r="F66" s="174"/>
      <c r="G66" s="176"/>
      <c r="H66" s="174"/>
      <c r="I66" s="120"/>
      <c r="J66" s="176"/>
      <c r="K66" s="176"/>
      <c r="L66" s="174"/>
      <c r="M66" s="174"/>
      <c r="N66" s="176"/>
      <c r="O66" s="174"/>
      <c r="P66" s="120"/>
      <c r="Q66" s="176"/>
      <c r="R66" s="176"/>
      <c r="S66" s="174"/>
      <c r="T66" s="174"/>
      <c r="U66" s="176"/>
    </row>
    <row r="67" spans="1:21" x14ac:dyDescent="0.2">
      <c r="A67" s="174"/>
      <c r="B67" s="120"/>
      <c r="C67" s="176"/>
      <c r="D67" s="176"/>
      <c r="E67" s="174"/>
      <c r="F67" s="174"/>
      <c r="G67" s="176"/>
      <c r="H67" s="174"/>
      <c r="I67" s="120"/>
      <c r="J67" s="176"/>
      <c r="K67" s="176"/>
      <c r="L67" s="174"/>
      <c r="M67" s="174"/>
      <c r="N67" s="176"/>
      <c r="O67" s="174"/>
      <c r="P67" s="120"/>
      <c r="Q67" s="176"/>
      <c r="R67" s="176"/>
      <c r="S67" s="174"/>
      <c r="T67" s="174"/>
      <c r="U67" s="176"/>
    </row>
    <row r="68" spans="1:21" x14ac:dyDescent="0.2">
      <c r="A68" s="174"/>
      <c r="B68" s="120"/>
      <c r="C68" s="176"/>
      <c r="D68" s="176"/>
      <c r="E68" s="174"/>
      <c r="F68" s="174"/>
      <c r="G68" s="176"/>
      <c r="H68" s="174"/>
      <c r="I68" s="120"/>
      <c r="J68" s="176"/>
      <c r="K68" s="176"/>
      <c r="L68" s="174"/>
      <c r="M68" s="174"/>
      <c r="N68" s="176"/>
      <c r="O68" s="174"/>
      <c r="P68" s="120"/>
      <c r="Q68" s="176"/>
      <c r="R68" s="176"/>
      <c r="S68" s="174"/>
      <c r="T68" s="174"/>
      <c r="U68" s="176"/>
    </row>
    <row r="69" spans="1:21" x14ac:dyDescent="0.2">
      <c r="A69" s="174"/>
      <c r="B69" s="120"/>
      <c r="C69" s="176"/>
      <c r="D69" s="176"/>
      <c r="E69" s="174"/>
      <c r="F69" s="174"/>
      <c r="G69" s="176"/>
      <c r="H69" s="174"/>
      <c r="I69" s="120"/>
      <c r="J69" s="176"/>
      <c r="K69" s="176"/>
      <c r="L69" s="174"/>
      <c r="M69" s="174"/>
      <c r="N69" s="176"/>
      <c r="O69" s="174"/>
      <c r="P69" s="120"/>
      <c r="Q69" s="176"/>
      <c r="R69" s="176"/>
      <c r="S69" s="174"/>
      <c r="T69" s="174"/>
      <c r="U69" s="176"/>
    </row>
    <row r="70" spans="1:21" x14ac:dyDescent="0.2">
      <c r="A70" s="174"/>
      <c r="B70" s="120"/>
      <c r="C70" s="176"/>
      <c r="D70" s="176"/>
      <c r="E70" s="174"/>
      <c r="F70" s="174"/>
      <c r="G70" s="176"/>
      <c r="H70" s="174"/>
      <c r="I70" s="120"/>
      <c r="J70" s="176"/>
      <c r="K70" s="176"/>
      <c r="L70" s="174"/>
      <c r="M70" s="174"/>
      <c r="N70" s="176"/>
      <c r="O70" s="174"/>
      <c r="P70" s="120"/>
      <c r="Q70" s="176"/>
      <c r="R70" s="176"/>
      <c r="S70" s="174"/>
      <c r="T70" s="174"/>
      <c r="U70" s="176"/>
    </row>
    <row r="71" spans="1:21" x14ac:dyDescent="0.2">
      <c r="A71" s="174"/>
      <c r="B71" s="120"/>
      <c r="C71" s="176"/>
      <c r="D71" s="176"/>
      <c r="E71" s="174"/>
      <c r="F71" s="174"/>
      <c r="G71" s="176"/>
      <c r="H71" s="174"/>
      <c r="I71" s="120"/>
      <c r="J71" s="176"/>
      <c r="K71" s="176"/>
      <c r="L71" s="174"/>
      <c r="M71" s="174"/>
      <c r="N71" s="176"/>
      <c r="O71" s="174"/>
      <c r="P71" s="120"/>
      <c r="Q71" s="176"/>
      <c r="R71" s="176"/>
      <c r="S71" s="174"/>
      <c r="T71" s="174"/>
      <c r="U71" s="176"/>
    </row>
    <row r="72" spans="1:21" x14ac:dyDescent="0.2">
      <c r="A72" s="174"/>
      <c r="B72" s="120"/>
      <c r="C72" s="176"/>
      <c r="D72" s="176"/>
      <c r="E72" s="174"/>
      <c r="F72" s="174"/>
      <c r="G72" s="176"/>
      <c r="H72" s="174"/>
      <c r="I72" s="120"/>
      <c r="J72" s="176"/>
      <c r="K72" s="176"/>
      <c r="L72" s="174"/>
      <c r="M72" s="174"/>
      <c r="N72" s="176"/>
      <c r="O72" s="174"/>
      <c r="P72" s="120"/>
      <c r="Q72" s="176"/>
      <c r="R72" s="176"/>
      <c r="S72" s="174"/>
      <c r="T72" s="174"/>
      <c r="U72" s="176"/>
    </row>
    <row r="73" spans="1:21" x14ac:dyDescent="0.2">
      <c r="A73" s="174"/>
      <c r="B73" s="120"/>
      <c r="C73" s="176"/>
      <c r="D73" s="176"/>
      <c r="E73" s="174"/>
      <c r="F73" s="174"/>
      <c r="G73" s="176"/>
      <c r="H73" s="174"/>
      <c r="I73" s="120"/>
      <c r="J73" s="176"/>
      <c r="K73" s="176"/>
      <c r="L73" s="174"/>
      <c r="M73" s="174"/>
      <c r="N73" s="176"/>
      <c r="O73" s="174"/>
      <c r="P73" s="120"/>
      <c r="Q73" s="176"/>
      <c r="R73" s="176"/>
      <c r="S73" s="174"/>
      <c r="T73" s="174"/>
      <c r="U73" s="176"/>
    </row>
    <row r="74" spans="1:21" x14ac:dyDescent="0.2">
      <c r="A74" s="174"/>
      <c r="B74" s="120"/>
      <c r="C74" s="176"/>
      <c r="D74" s="176"/>
      <c r="E74" s="174"/>
      <c r="F74" s="174"/>
      <c r="G74" s="176"/>
      <c r="H74" s="174"/>
      <c r="I74" s="120"/>
      <c r="J74" s="176"/>
      <c r="K74" s="176"/>
      <c r="L74" s="174"/>
      <c r="M74" s="174"/>
      <c r="N74" s="176"/>
      <c r="O74" s="174"/>
      <c r="P74" s="120"/>
      <c r="Q74" s="176"/>
      <c r="R74" s="176"/>
      <c r="S74" s="174"/>
      <c r="T74" s="174"/>
      <c r="U74" s="176"/>
    </row>
    <row r="75" spans="1:21" x14ac:dyDescent="0.2">
      <c r="A75" s="174"/>
      <c r="B75" s="120"/>
      <c r="C75" s="176"/>
      <c r="D75" s="176"/>
      <c r="E75" s="174"/>
      <c r="F75" s="174"/>
      <c r="G75" s="176"/>
      <c r="H75" s="174"/>
      <c r="I75" s="120"/>
      <c r="J75" s="176"/>
      <c r="K75" s="176"/>
      <c r="L75" s="174"/>
      <c r="M75" s="174"/>
      <c r="N75" s="176"/>
      <c r="O75" s="174"/>
      <c r="P75" s="120"/>
      <c r="Q75" s="176"/>
      <c r="R75" s="176"/>
      <c r="S75" s="174"/>
      <c r="T75" s="174"/>
      <c r="U75" s="176"/>
    </row>
    <row r="76" spans="1:21" x14ac:dyDescent="0.2">
      <c r="A76" s="174"/>
      <c r="B76" s="120"/>
      <c r="C76" s="176"/>
      <c r="D76" s="176"/>
      <c r="E76" s="174"/>
      <c r="F76" s="174"/>
      <c r="G76" s="176"/>
      <c r="H76" s="174"/>
      <c r="I76" s="120"/>
      <c r="J76" s="176"/>
      <c r="K76" s="176"/>
      <c r="L76" s="174"/>
      <c r="M76" s="174"/>
      <c r="N76" s="176"/>
      <c r="O76" s="174"/>
      <c r="P76" s="120"/>
      <c r="Q76" s="176"/>
      <c r="R76" s="176"/>
      <c r="S76" s="174"/>
      <c r="T76" s="174"/>
      <c r="U76" s="176"/>
    </row>
    <row r="77" spans="1:21" x14ac:dyDescent="0.2">
      <c r="A77" s="174"/>
      <c r="B77" s="120"/>
      <c r="C77" s="176"/>
      <c r="D77" s="176"/>
      <c r="E77" s="174"/>
      <c r="F77" s="174"/>
      <c r="G77" s="176"/>
      <c r="H77" s="174"/>
      <c r="I77" s="120"/>
      <c r="J77" s="176"/>
      <c r="K77" s="176"/>
      <c r="L77" s="174"/>
      <c r="M77" s="174"/>
      <c r="N77" s="176"/>
      <c r="O77" s="174"/>
      <c r="P77" s="120"/>
      <c r="Q77" s="176"/>
      <c r="R77" s="176"/>
      <c r="S77" s="174"/>
      <c r="T77" s="174"/>
      <c r="U77" s="176"/>
    </row>
    <row r="78" spans="1:21" x14ac:dyDescent="0.2">
      <c r="A78" s="174"/>
      <c r="B78" s="120"/>
      <c r="C78" s="176"/>
      <c r="D78" s="176"/>
      <c r="E78" s="174"/>
      <c r="F78" s="174"/>
      <c r="G78" s="176"/>
      <c r="H78" s="174"/>
      <c r="I78" s="120"/>
      <c r="J78" s="176"/>
      <c r="K78" s="176"/>
      <c r="L78" s="174"/>
      <c r="M78" s="174"/>
      <c r="N78" s="176"/>
      <c r="O78" s="174"/>
      <c r="P78" s="120"/>
      <c r="Q78" s="176"/>
      <c r="R78" s="176"/>
      <c r="S78" s="174"/>
      <c r="T78" s="174"/>
      <c r="U78" s="176"/>
    </row>
    <row r="79" spans="1:21" x14ac:dyDescent="0.2">
      <c r="A79" s="174"/>
      <c r="B79" s="120"/>
      <c r="C79" s="176"/>
      <c r="D79" s="176"/>
      <c r="E79" s="174"/>
      <c r="F79" s="174"/>
      <c r="G79" s="176"/>
      <c r="H79" s="174"/>
      <c r="I79" s="120"/>
      <c r="J79" s="176"/>
      <c r="K79" s="176"/>
      <c r="L79" s="174"/>
      <c r="M79" s="174"/>
      <c r="N79" s="176"/>
      <c r="O79" s="174"/>
      <c r="P79" s="120"/>
      <c r="Q79" s="176"/>
      <c r="R79" s="176"/>
      <c r="S79" s="174"/>
      <c r="T79" s="174"/>
      <c r="U79" s="176"/>
    </row>
    <row r="80" spans="1:21" x14ac:dyDescent="0.2">
      <c r="A80" s="174"/>
      <c r="B80" s="120"/>
      <c r="C80" s="176"/>
      <c r="D80" s="176"/>
      <c r="E80" s="174"/>
      <c r="F80" s="174"/>
      <c r="G80" s="176"/>
      <c r="H80" s="174"/>
      <c r="I80" s="120"/>
      <c r="J80" s="176"/>
      <c r="K80" s="176"/>
      <c r="L80" s="174"/>
      <c r="M80" s="174"/>
      <c r="N80" s="176"/>
      <c r="O80" s="174"/>
      <c r="P80" s="120"/>
      <c r="Q80" s="176"/>
      <c r="R80" s="176"/>
      <c r="S80" s="174"/>
      <c r="T80" s="174"/>
      <c r="U80" s="176"/>
    </row>
    <row r="81" spans="1:21" x14ac:dyDescent="0.2">
      <c r="A81" s="174"/>
      <c r="B81" s="120"/>
      <c r="C81" s="176"/>
      <c r="D81" s="176"/>
      <c r="E81" s="174"/>
      <c r="F81" s="174"/>
      <c r="G81" s="176"/>
      <c r="H81" s="174"/>
      <c r="I81" s="120"/>
      <c r="J81" s="176"/>
      <c r="K81" s="176"/>
      <c r="L81" s="174"/>
      <c r="M81" s="174"/>
      <c r="N81" s="176"/>
      <c r="O81" s="174"/>
      <c r="P81" s="120"/>
      <c r="Q81" s="176"/>
      <c r="R81" s="176"/>
      <c r="S81" s="174"/>
      <c r="T81" s="174"/>
      <c r="U81" s="176"/>
    </row>
    <row r="82" spans="1:21" x14ac:dyDescent="0.2">
      <c r="A82" s="174"/>
      <c r="B82" s="120"/>
      <c r="C82" s="176"/>
      <c r="D82" s="176"/>
      <c r="E82" s="174"/>
      <c r="F82" s="174"/>
      <c r="G82" s="176"/>
      <c r="H82" s="174"/>
      <c r="I82" s="120"/>
      <c r="J82" s="176"/>
      <c r="K82" s="176"/>
      <c r="L82" s="174"/>
      <c r="M82" s="174"/>
      <c r="N82" s="176"/>
      <c r="O82" s="174"/>
      <c r="P82" s="120"/>
      <c r="Q82" s="176"/>
      <c r="R82" s="176"/>
      <c r="S82" s="174"/>
      <c r="T82" s="174"/>
      <c r="U82" s="176"/>
    </row>
    <row r="83" spans="1:21" x14ac:dyDescent="0.2">
      <c r="A83" s="174"/>
      <c r="B83" s="120"/>
      <c r="C83" s="176"/>
      <c r="D83" s="176"/>
      <c r="E83" s="174"/>
      <c r="F83" s="174"/>
      <c r="G83" s="176"/>
      <c r="H83" s="174"/>
      <c r="I83" s="120"/>
      <c r="J83" s="176"/>
      <c r="K83" s="176"/>
      <c r="L83" s="174"/>
      <c r="M83" s="174"/>
      <c r="N83" s="176"/>
      <c r="O83" s="174"/>
      <c r="P83" s="120"/>
      <c r="Q83" s="176"/>
      <c r="R83" s="176"/>
      <c r="S83" s="174"/>
      <c r="T83" s="174"/>
      <c r="U83" s="176"/>
    </row>
    <row r="84" spans="1:21" x14ac:dyDescent="0.2">
      <c r="A84" s="174"/>
      <c r="B84" s="120"/>
      <c r="C84" s="176"/>
      <c r="D84" s="176"/>
      <c r="E84" s="174"/>
      <c r="F84" s="174"/>
      <c r="G84" s="176"/>
      <c r="H84" s="174"/>
      <c r="I84" s="120"/>
      <c r="J84" s="176"/>
      <c r="K84" s="176"/>
      <c r="L84" s="174"/>
      <c r="M84" s="174"/>
      <c r="N84" s="176"/>
      <c r="O84" s="174"/>
      <c r="P84" s="120"/>
      <c r="Q84" s="176"/>
      <c r="R84" s="176"/>
      <c r="S84" s="174"/>
      <c r="T84" s="174"/>
      <c r="U84" s="176"/>
    </row>
    <row r="85" spans="1:21" x14ac:dyDescent="0.2">
      <c r="A85" s="174"/>
      <c r="B85" s="120"/>
      <c r="C85" s="176"/>
      <c r="D85" s="176"/>
      <c r="E85" s="174"/>
      <c r="F85" s="174"/>
      <c r="G85" s="176"/>
      <c r="H85" s="174"/>
      <c r="I85" s="120"/>
      <c r="J85" s="176"/>
      <c r="K85" s="176"/>
      <c r="L85" s="174"/>
      <c r="M85" s="174"/>
      <c r="N85" s="176"/>
      <c r="O85" s="174"/>
      <c r="P85" s="120"/>
      <c r="Q85" s="176"/>
      <c r="R85" s="176"/>
      <c r="S85" s="174"/>
      <c r="T85" s="174"/>
      <c r="U85" s="176"/>
    </row>
    <row r="86" spans="1:21" x14ac:dyDescent="0.2">
      <c r="A86" s="174"/>
      <c r="B86" s="120"/>
      <c r="C86" s="176"/>
      <c r="D86" s="176"/>
      <c r="E86" s="174"/>
      <c r="F86" s="174"/>
      <c r="G86" s="176"/>
      <c r="H86" s="174"/>
      <c r="I86" s="120"/>
      <c r="J86" s="176"/>
      <c r="K86" s="176"/>
      <c r="L86" s="174"/>
      <c r="M86" s="174"/>
      <c r="N86" s="176"/>
      <c r="O86" s="174"/>
      <c r="P86" s="120"/>
      <c r="Q86" s="176"/>
      <c r="R86" s="176"/>
      <c r="S86" s="174"/>
      <c r="T86" s="174"/>
      <c r="U86" s="176"/>
    </row>
    <row r="87" spans="1:21" x14ac:dyDescent="0.2">
      <c r="A87" s="174"/>
      <c r="B87" s="120"/>
      <c r="C87" s="176"/>
      <c r="D87" s="176"/>
      <c r="E87" s="174"/>
      <c r="F87" s="174"/>
      <c r="G87" s="176"/>
      <c r="H87" s="174"/>
      <c r="I87" s="120"/>
      <c r="J87" s="176"/>
      <c r="K87" s="176"/>
      <c r="L87" s="174"/>
      <c r="M87" s="174"/>
      <c r="N87" s="176"/>
      <c r="O87" s="174"/>
      <c r="P87" s="120"/>
      <c r="Q87" s="176"/>
      <c r="R87" s="176"/>
      <c r="S87" s="174"/>
      <c r="T87" s="174"/>
      <c r="U87" s="176"/>
    </row>
    <row r="88" spans="1:21" x14ac:dyDescent="0.2">
      <c r="A88" s="174"/>
      <c r="B88" s="120"/>
      <c r="C88" s="176"/>
      <c r="D88" s="176"/>
      <c r="E88" s="174"/>
      <c r="F88" s="174"/>
      <c r="G88" s="176"/>
      <c r="H88" s="174"/>
      <c r="I88" s="120"/>
      <c r="J88" s="176"/>
      <c r="K88" s="176"/>
      <c r="L88" s="174"/>
      <c r="M88" s="174"/>
      <c r="N88" s="176"/>
      <c r="O88" s="174"/>
      <c r="P88" s="120"/>
      <c r="Q88" s="176"/>
      <c r="R88" s="176"/>
      <c r="S88" s="174"/>
      <c r="T88" s="174"/>
      <c r="U88" s="176"/>
    </row>
    <row r="89" spans="1:21" x14ac:dyDescent="0.2">
      <c r="A89" s="174"/>
      <c r="B89" s="120"/>
      <c r="C89" s="176"/>
      <c r="D89" s="176"/>
      <c r="E89" s="174"/>
      <c r="F89" s="174"/>
      <c r="G89" s="176"/>
      <c r="H89" s="174"/>
      <c r="I89" s="120"/>
      <c r="J89" s="176"/>
      <c r="K89" s="176"/>
      <c r="L89" s="174"/>
      <c r="M89" s="174"/>
      <c r="N89" s="176"/>
      <c r="O89" s="174"/>
      <c r="P89" s="120"/>
      <c r="Q89" s="176"/>
      <c r="R89" s="176"/>
      <c r="S89" s="174"/>
      <c r="T89" s="174"/>
      <c r="U89" s="176"/>
    </row>
    <row r="90" spans="1:21" x14ac:dyDescent="0.2">
      <c r="A90" s="174"/>
      <c r="B90" s="120"/>
      <c r="C90" s="176"/>
      <c r="D90" s="176"/>
      <c r="E90" s="174"/>
      <c r="F90" s="174"/>
      <c r="G90" s="176"/>
      <c r="H90" s="174"/>
      <c r="I90" s="120"/>
      <c r="J90" s="176"/>
      <c r="K90" s="176"/>
      <c r="L90" s="174"/>
      <c r="M90" s="174"/>
      <c r="N90" s="176"/>
      <c r="O90" s="174"/>
      <c r="P90" s="120"/>
      <c r="Q90" s="176"/>
      <c r="R90" s="176"/>
      <c r="S90" s="174"/>
      <c r="T90" s="174"/>
      <c r="U90" s="176"/>
    </row>
    <row r="91" spans="1:21" x14ac:dyDescent="0.2">
      <c r="A91" s="174"/>
      <c r="B91" s="120"/>
      <c r="C91" s="176"/>
      <c r="D91" s="176"/>
      <c r="E91" s="174"/>
      <c r="F91" s="174"/>
      <c r="G91" s="176"/>
      <c r="H91" s="174"/>
      <c r="I91" s="120"/>
      <c r="J91" s="176"/>
      <c r="K91" s="176"/>
      <c r="L91" s="174"/>
      <c r="M91" s="174"/>
      <c r="N91" s="176"/>
      <c r="O91" s="174"/>
      <c r="P91" s="120"/>
      <c r="Q91" s="176"/>
      <c r="R91" s="176"/>
      <c r="S91" s="174"/>
      <c r="T91" s="174"/>
      <c r="U91" s="176"/>
    </row>
    <row r="92" spans="1:21" x14ac:dyDescent="0.2">
      <c r="A92" s="174"/>
      <c r="B92" s="120"/>
      <c r="C92" s="176"/>
      <c r="D92" s="176"/>
      <c r="E92" s="174"/>
      <c r="F92" s="174"/>
      <c r="G92" s="176"/>
      <c r="H92" s="174"/>
      <c r="I92" s="120"/>
      <c r="J92" s="176"/>
      <c r="K92" s="176"/>
      <c r="L92" s="174"/>
      <c r="M92" s="174"/>
      <c r="N92" s="176"/>
      <c r="O92" s="174"/>
      <c r="P92" s="120"/>
      <c r="Q92" s="176"/>
      <c r="R92" s="176"/>
      <c r="S92" s="174"/>
      <c r="T92" s="174"/>
      <c r="U92" s="176"/>
    </row>
    <row r="93" spans="1:21" x14ac:dyDescent="0.2">
      <c r="A93" s="174"/>
      <c r="B93" s="120"/>
      <c r="C93" s="176"/>
      <c r="D93" s="176"/>
      <c r="E93" s="174"/>
      <c r="F93" s="174"/>
      <c r="G93" s="176"/>
      <c r="H93" s="174"/>
      <c r="I93" s="120"/>
      <c r="J93" s="176"/>
      <c r="K93" s="176"/>
      <c r="L93" s="174"/>
      <c r="M93" s="174"/>
      <c r="N93" s="176"/>
      <c r="O93" s="174"/>
      <c r="P93" s="120"/>
      <c r="Q93" s="176"/>
      <c r="R93" s="176"/>
      <c r="S93" s="174"/>
      <c r="T93" s="174"/>
      <c r="U93" s="176"/>
    </row>
    <row r="94" spans="1:21" x14ac:dyDescent="0.2">
      <c r="A94" s="174"/>
      <c r="B94" s="120"/>
      <c r="C94" s="176"/>
      <c r="D94" s="176"/>
      <c r="E94" s="174"/>
      <c r="F94" s="174"/>
      <c r="G94" s="176"/>
      <c r="H94" s="174"/>
      <c r="I94" s="120"/>
      <c r="J94" s="176"/>
      <c r="K94" s="176"/>
      <c r="L94" s="174"/>
      <c r="M94" s="174"/>
      <c r="N94" s="176"/>
      <c r="O94" s="174"/>
      <c r="P94" s="120"/>
      <c r="Q94" s="176"/>
      <c r="R94" s="176"/>
      <c r="S94" s="174"/>
      <c r="T94" s="174"/>
      <c r="U94" s="176"/>
    </row>
    <row r="95" spans="1:21" x14ac:dyDescent="0.2">
      <c r="A95" s="174"/>
      <c r="B95" s="120"/>
      <c r="C95" s="176"/>
      <c r="D95" s="176"/>
      <c r="E95" s="174"/>
      <c r="F95" s="174"/>
      <c r="G95" s="176"/>
      <c r="H95" s="174"/>
      <c r="I95" s="120"/>
      <c r="J95" s="176"/>
      <c r="K95" s="176"/>
      <c r="L95" s="174"/>
      <c r="M95" s="174"/>
      <c r="N95" s="176"/>
      <c r="O95" s="174"/>
      <c r="P95" s="120"/>
      <c r="Q95" s="176"/>
      <c r="R95" s="176"/>
      <c r="S95" s="174"/>
      <c r="T95" s="174"/>
      <c r="U95" s="176"/>
    </row>
    <row r="96" spans="1:21" x14ac:dyDescent="0.2">
      <c r="A96" s="174"/>
      <c r="B96" s="120"/>
      <c r="C96" s="176"/>
      <c r="D96" s="176"/>
      <c r="E96" s="174"/>
      <c r="F96" s="174"/>
      <c r="G96" s="176"/>
      <c r="H96" s="174"/>
      <c r="I96" s="120"/>
      <c r="J96" s="176"/>
      <c r="K96" s="176"/>
      <c r="L96" s="174"/>
      <c r="M96" s="174"/>
      <c r="N96" s="176"/>
      <c r="O96" s="174"/>
      <c r="P96" s="120"/>
      <c r="Q96" s="176"/>
      <c r="R96" s="176"/>
      <c r="S96" s="174"/>
      <c r="T96" s="174"/>
      <c r="U96" s="176"/>
    </row>
    <row r="97" spans="1:21" x14ac:dyDescent="0.2">
      <c r="A97" s="174"/>
      <c r="B97" s="120"/>
      <c r="C97" s="176"/>
      <c r="D97" s="176"/>
      <c r="E97" s="174"/>
      <c r="F97" s="174"/>
      <c r="G97" s="176"/>
      <c r="H97" s="174"/>
      <c r="I97" s="120"/>
      <c r="J97" s="176"/>
      <c r="K97" s="176"/>
      <c r="L97" s="174"/>
      <c r="M97" s="174"/>
      <c r="N97" s="176"/>
      <c r="O97" s="174"/>
      <c r="P97" s="120"/>
      <c r="Q97" s="176"/>
      <c r="R97" s="176"/>
      <c r="S97" s="174"/>
      <c r="T97" s="174"/>
      <c r="U97" s="176"/>
    </row>
    <row r="98" spans="1:21" x14ac:dyDescent="0.2">
      <c r="A98" s="174"/>
      <c r="B98" s="120"/>
      <c r="C98" s="176"/>
      <c r="D98" s="176"/>
      <c r="E98" s="174"/>
      <c r="F98" s="174"/>
      <c r="G98" s="176"/>
      <c r="H98" s="174"/>
      <c r="I98" s="120"/>
      <c r="J98" s="176"/>
      <c r="K98" s="176"/>
      <c r="L98" s="174"/>
      <c r="M98" s="174"/>
      <c r="N98" s="176"/>
      <c r="O98" s="174"/>
      <c r="P98" s="120"/>
      <c r="Q98" s="176"/>
      <c r="R98" s="176"/>
      <c r="S98" s="174"/>
      <c r="T98" s="174"/>
      <c r="U98" s="176"/>
    </row>
    <row r="99" spans="1:21" x14ac:dyDescent="0.2">
      <c r="A99" s="174"/>
      <c r="B99" s="120"/>
      <c r="C99" s="176"/>
      <c r="D99" s="176"/>
      <c r="E99" s="174"/>
      <c r="F99" s="174"/>
      <c r="G99" s="176"/>
      <c r="H99" s="174"/>
      <c r="I99" s="120"/>
      <c r="J99" s="176"/>
      <c r="K99" s="176"/>
      <c r="L99" s="174"/>
      <c r="M99" s="174"/>
      <c r="N99" s="176"/>
      <c r="O99" s="174"/>
      <c r="P99" s="120"/>
      <c r="Q99" s="176"/>
      <c r="R99" s="176"/>
      <c r="S99" s="174"/>
      <c r="T99" s="174"/>
      <c r="U99" s="176"/>
    </row>
    <row r="100" spans="1:21" x14ac:dyDescent="0.2">
      <c r="A100" s="174"/>
      <c r="B100" s="120"/>
      <c r="C100" s="176"/>
      <c r="D100" s="176"/>
      <c r="E100" s="174"/>
      <c r="F100" s="174"/>
      <c r="G100" s="176"/>
      <c r="H100" s="174"/>
      <c r="I100" s="120"/>
      <c r="J100" s="176"/>
      <c r="K100" s="176"/>
      <c r="L100" s="174"/>
      <c r="M100" s="174"/>
      <c r="N100" s="176"/>
      <c r="O100" s="174"/>
      <c r="P100" s="120"/>
      <c r="Q100" s="176"/>
      <c r="R100" s="176"/>
      <c r="S100" s="174"/>
      <c r="T100" s="174"/>
      <c r="U100" s="176"/>
    </row>
    <row r="101" spans="1:21" x14ac:dyDescent="0.2">
      <c r="A101" s="174"/>
      <c r="B101" s="120"/>
      <c r="C101" s="176"/>
      <c r="D101" s="176"/>
      <c r="E101" s="174"/>
      <c r="F101" s="174"/>
      <c r="G101" s="176"/>
      <c r="H101" s="174"/>
      <c r="I101" s="120"/>
      <c r="J101" s="176"/>
      <c r="K101" s="176"/>
      <c r="L101" s="174"/>
      <c r="M101" s="174"/>
      <c r="N101" s="176"/>
      <c r="O101" s="174"/>
      <c r="P101" s="120"/>
      <c r="Q101" s="176"/>
      <c r="R101" s="176"/>
      <c r="S101" s="174"/>
      <c r="T101" s="174"/>
      <c r="U101" s="176"/>
    </row>
    <row r="102" spans="1:21" x14ac:dyDescent="0.2">
      <c r="A102" s="174"/>
      <c r="B102" s="120"/>
      <c r="C102" s="176"/>
      <c r="D102" s="176"/>
      <c r="E102" s="174"/>
      <c r="F102" s="174"/>
      <c r="G102" s="176"/>
      <c r="H102" s="174"/>
      <c r="I102" s="120"/>
      <c r="J102" s="176"/>
      <c r="K102" s="176"/>
      <c r="L102" s="174"/>
      <c r="M102" s="174"/>
      <c r="N102" s="176"/>
      <c r="O102" s="174"/>
      <c r="P102" s="120"/>
      <c r="Q102" s="176"/>
      <c r="R102" s="176"/>
      <c r="S102" s="174"/>
      <c r="T102" s="174"/>
      <c r="U102" s="176"/>
    </row>
    <row r="103" spans="1:21" x14ac:dyDescent="0.2">
      <c r="A103" s="174"/>
      <c r="B103" s="120"/>
      <c r="C103" s="176"/>
      <c r="D103" s="176"/>
      <c r="E103" s="174"/>
      <c r="F103" s="174"/>
      <c r="G103" s="176"/>
      <c r="H103" s="174"/>
      <c r="I103" s="120"/>
      <c r="J103" s="176"/>
      <c r="K103" s="176"/>
      <c r="L103" s="174"/>
      <c r="M103" s="174"/>
      <c r="N103" s="176"/>
      <c r="O103" s="174"/>
      <c r="P103" s="120"/>
      <c r="Q103" s="176"/>
      <c r="R103" s="176"/>
      <c r="S103" s="174"/>
      <c r="T103" s="174"/>
      <c r="U103" s="176"/>
    </row>
    <row r="104" spans="1:21" x14ac:dyDescent="0.2">
      <c r="A104" s="174"/>
      <c r="B104" s="120"/>
      <c r="C104" s="176"/>
      <c r="D104" s="176"/>
      <c r="E104" s="174"/>
      <c r="F104" s="174"/>
      <c r="G104" s="176"/>
      <c r="H104" s="174"/>
      <c r="I104" s="120"/>
      <c r="J104" s="176"/>
      <c r="K104" s="176"/>
      <c r="L104" s="174"/>
      <c r="M104" s="174"/>
      <c r="N104" s="176"/>
      <c r="O104" s="174"/>
      <c r="P104" s="120"/>
      <c r="Q104" s="176"/>
      <c r="R104" s="176"/>
      <c r="S104" s="174"/>
      <c r="T104" s="174"/>
      <c r="U104" s="176"/>
    </row>
    <row r="105" spans="1:21" x14ac:dyDescent="0.2">
      <c r="A105" s="174"/>
      <c r="B105" s="120"/>
      <c r="C105" s="176"/>
      <c r="D105" s="176"/>
      <c r="E105" s="174"/>
      <c r="F105" s="174"/>
      <c r="G105" s="176"/>
      <c r="H105" s="174"/>
      <c r="I105" s="120"/>
      <c r="J105" s="176"/>
      <c r="K105" s="176"/>
      <c r="L105" s="174"/>
      <c r="M105" s="174"/>
      <c r="N105" s="176"/>
      <c r="O105" s="174"/>
      <c r="P105" s="120"/>
      <c r="Q105" s="176"/>
      <c r="R105" s="176"/>
      <c r="S105" s="174"/>
      <c r="T105" s="174"/>
      <c r="U105" s="176"/>
    </row>
    <row r="106" spans="1:21" x14ac:dyDescent="0.2">
      <c r="A106" s="174"/>
      <c r="B106" s="120"/>
      <c r="C106" s="176"/>
      <c r="D106" s="176"/>
      <c r="E106" s="174"/>
      <c r="F106" s="174"/>
      <c r="G106" s="176"/>
      <c r="H106" s="174"/>
      <c r="I106" s="120"/>
      <c r="J106" s="176"/>
      <c r="K106" s="176"/>
      <c r="L106" s="174"/>
      <c r="M106" s="174"/>
      <c r="N106" s="176"/>
      <c r="O106" s="174"/>
      <c r="P106" s="120"/>
      <c r="Q106" s="176"/>
      <c r="R106" s="176"/>
      <c r="S106" s="174"/>
      <c r="T106" s="174"/>
      <c r="U106" s="176"/>
    </row>
    <row r="107" spans="1:21" x14ac:dyDescent="0.2">
      <c r="A107" s="174"/>
      <c r="B107" s="120"/>
      <c r="C107" s="176"/>
      <c r="D107" s="176"/>
      <c r="E107" s="174"/>
      <c r="F107" s="174"/>
      <c r="G107" s="176"/>
      <c r="H107" s="174"/>
      <c r="I107" s="120"/>
      <c r="J107" s="176"/>
      <c r="K107" s="176"/>
      <c r="L107" s="174"/>
      <c r="M107" s="174"/>
      <c r="N107" s="176"/>
      <c r="O107" s="174"/>
      <c r="P107" s="120"/>
      <c r="Q107" s="176"/>
      <c r="R107" s="176"/>
      <c r="S107" s="174"/>
      <c r="T107" s="174"/>
      <c r="U107" s="176"/>
    </row>
    <row r="108" spans="1:21" x14ac:dyDescent="0.2">
      <c r="A108" s="174"/>
      <c r="B108" s="120"/>
      <c r="C108" s="176"/>
      <c r="D108" s="176"/>
      <c r="E108" s="174"/>
      <c r="F108" s="174"/>
      <c r="G108" s="176"/>
      <c r="H108" s="174"/>
      <c r="I108" s="120"/>
      <c r="J108" s="176"/>
      <c r="K108" s="176"/>
      <c r="L108" s="174"/>
      <c r="M108" s="174"/>
      <c r="N108" s="176"/>
      <c r="O108" s="174"/>
      <c r="P108" s="120"/>
      <c r="Q108" s="176"/>
      <c r="R108" s="176"/>
      <c r="S108" s="174"/>
      <c r="T108" s="174"/>
      <c r="U108" s="176"/>
    </row>
    <row r="109" spans="1:21" x14ac:dyDescent="0.2">
      <c r="A109" s="174"/>
      <c r="B109" s="120"/>
      <c r="C109" s="176"/>
      <c r="D109" s="176"/>
      <c r="E109" s="174"/>
      <c r="F109" s="174"/>
      <c r="G109" s="176"/>
      <c r="H109" s="174"/>
      <c r="I109" s="120"/>
      <c r="J109" s="176"/>
      <c r="K109" s="176"/>
      <c r="L109" s="174"/>
      <c r="M109" s="174"/>
      <c r="N109" s="176"/>
      <c r="O109" s="174"/>
      <c r="P109" s="120"/>
      <c r="Q109" s="176"/>
      <c r="R109" s="176"/>
      <c r="S109" s="174"/>
      <c r="T109" s="174"/>
      <c r="U109" s="176"/>
    </row>
    <row r="110" spans="1:21" x14ac:dyDescent="0.2">
      <c r="A110" s="174"/>
      <c r="B110" s="120"/>
      <c r="C110" s="176"/>
      <c r="D110" s="176"/>
      <c r="E110" s="174"/>
      <c r="F110" s="174"/>
      <c r="G110" s="176"/>
      <c r="H110" s="174"/>
      <c r="I110" s="120"/>
      <c r="J110" s="176"/>
      <c r="K110" s="176"/>
      <c r="L110" s="174"/>
      <c r="M110" s="174"/>
      <c r="N110" s="176"/>
      <c r="O110" s="174"/>
      <c r="P110" s="120"/>
      <c r="Q110" s="176"/>
      <c r="R110" s="176"/>
      <c r="S110" s="174"/>
      <c r="T110" s="174"/>
      <c r="U110" s="176"/>
    </row>
    <row r="111" spans="1:21" x14ac:dyDescent="0.2">
      <c r="A111" s="174"/>
      <c r="B111" s="120"/>
      <c r="C111" s="176"/>
      <c r="D111" s="176"/>
      <c r="E111" s="174"/>
      <c r="F111" s="174"/>
      <c r="G111" s="176"/>
      <c r="H111" s="174"/>
      <c r="I111" s="120"/>
      <c r="J111" s="176"/>
      <c r="K111" s="176"/>
      <c r="L111" s="174"/>
      <c r="M111" s="174"/>
      <c r="N111" s="176"/>
      <c r="O111" s="174"/>
      <c r="P111" s="120"/>
      <c r="Q111" s="176"/>
      <c r="R111" s="176"/>
      <c r="S111" s="174"/>
      <c r="T111" s="174"/>
      <c r="U111" s="176"/>
    </row>
    <row r="112" spans="1:21" x14ac:dyDescent="0.2">
      <c r="A112" s="174"/>
      <c r="B112" s="120"/>
      <c r="C112" s="176"/>
      <c r="D112" s="176"/>
      <c r="E112" s="174"/>
      <c r="F112" s="174"/>
      <c r="G112" s="176"/>
      <c r="H112" s="174"/>
      <c r="I112" s="120"/>
      <c r="J112" s="176"/>
      <c r="K112" s="176"/>
      <c r="L112" s="174"/>
      <c r="M112" s="174"/>
      <c r="N112" s="176"/>
      <c r="O112" s="174"/>
      <c r="P112" s="120"/>
      <c r="Q112" s="176"/>
      <c r="R112" s="176"/>
      <c r="S112" s="174"/>
      <c r="T112" s="174"/>
      <c r="U112" s="176"/>
    </row>
    <row r="113" spans="1:21" x14ac:dyDescent="0.2">
      <c r="A113" s="174"/>
      <c r="B113" s="120"/>
      <c r="C113" s="176"/>
      <c r="D113" s="176"/>
      <c r="E113" s="174"/>
      <c r="F113" s="174"/>
      <c r="G113" s="176"/>
      <c r="H113" s="174"/>
      <c r="I113" s="120"/>
      <c r="J113" s="176"/>
      <c r="K113" s="176"/>
      <c r="L113" s="174"/>
      <c r="M113" s="174"/>
      <c r="N113" s="176"/>
      <c r="O113" s="174"/>
      <c r="P113" s="120"/>
      <c r="Q113" s="176"/>
      <c r="R113" s="176"/>
      <c r="S113" s="174"/>
      <c r="T113" s="174"/>
      <c r="U113" s="176"/>
    </row>
    <row r="114" spans="1:21" x14ac:dyDescent="0.2">
      <c r="A114" s="174"/>
      <c r="B114" s="120"/>
      <c r="C114" s="176"/>
      <c r="D114" s="176"/>
      <c r="E114" s="174"/>
      <c r="F114" s="174"/>
      <c r="G114" s="176"/>
      <c r="H114" s="174"/>
      <c r="I114" s="120"/>
      <c r="J114" s="176"/>
      <c r="K114" s="176"/>
      <c r="L114" s="174"/>
      <c r="M114" s="174"/>
      <c r="N114" s="176"/>
      <c r="O114" s="174"/>
      <c r="P114" s="120"/>
      <c r="Q114" s="176"/>
      <c r="R114" s="176"/>
      <c r="S114" s="174"/>
      <c r="T114" s="174"/>
      <c r="U114" s="176"/>
    </row>
    <row r="115" spans="1:21" x14ac:dyDescent="0.2">
      <c r="A115" s="174"/>
      <c r="B115" s="120"/>
      <c r="C115" s="176"/>
      <c r="D115" s="176"/>
      <c r="E115" s="174"/>
      <c r="F115" s="174"/>
      <c r="G115" s="176"/>
      <c r="H115" s="174"/>
      <c r="I115" s="120"/>
      <c r="J115" s="176"/>
      <c r="K115" s="176"/>
      <c r="L115" s="174"/>
      <c r="M115" s="174"/>
      <c r="N115" s="176"/>
      <c r="O115" s="174"/>
      <c r="P115" s="120"/>
      <c r="Q115" s="176"/>
      <c r="R115" s="176"/>
      <c r="S115" s="174"/>
      <c r="T115" s="174"/>
      <c r="U115" s="176"/>
    </row>
    <row r="116" spans="1:21" x14ac:dyDescent="0.2">
      <c r="A116" s="174"/>
      <c r="B116" s="120"/>
      <c r="C116" s="176"/>
      <c r="D116" s="176"/>
      <c r="E116" s="174"/>
      <c r="F116" s="174"/>
      <c r="G116" s="176"/>
      <c r="H116" s="174"/>
      <c r="I116" s="120"/>
      <c r="J116" s="176"/>
      <c r="K116" s="176"/>
      <c r="L116" s="174"/>
      <c r="M116" s="174"/>
      <c r="N116" s="176"/>
      <c r="O116" s="174"/>
      <c r="P116" s="120"/>
      <c r="Q116" s="176"/>
      <c r="R116" s="176"/>
      <c r="S116" s="174"/>
      <c r="T116" s="174"/>
      <c r="U116" s="176"/>
    </row>
    <row r="117" spans="1:21" x14ac:dyDescent="0.2">
      <c r="A117" s="174"/>
      <c r="B117" s="120"/>
      <c r="C117" s="176"/>
      <c r="D117" s="176"/>
      <c r="E117" s="174"/>
      <c r="F117" s="174"/>
      <c r="G117" s="176"/>
      <c r="H117" s="174"/>
      <c r="I117" s="120"/>
      <c r="J117" s="176"/>
      <c r="K117" s="176"/>
      <c r="L117" s="174"/>
      <c r="M117" s="174"/>
      <c r="N117" s="176"/>
      <c r="O117" s="174"/>
      <c r="P117" s="120"/>
      <c r="Q117" s="176"/>
      <c r="R117" s="176"/>
      <c r="S117" s="174"/>
      <c r="T117" s="174"/>
      <c r="U117" s="176"/>
    </row>
    <row r="118" spans="1:21" x14ac:dyDescent="0.2">
      <c r="A118" s="174"/>
      <c r="B118" s="120"/>
      <c r="C118" s="176"/>
      <c r="D118" s="176"/>
      <c r="E118" s="174"/>
      <c r="F118" s="174"/>
      <c r="G118" s="176"/>
      <c r="H118" s="174"/>
      <c r="I118" s="120"/>
      <c r="J118" s="176"/>
      <c r="K118" s="176"/>
      <c r="L118" s="174"/>
      <c r="M118" s="174"/>
      <c r="N118" s="176"/>
      <c r="O118" s="174"/>
      <c r="P118" s="120"/>
      <c r="Q118" s="176"/>
      <c r="R118" s="176"/>
      <c r="S118" s="174"/>
      <c r="T118" s="174"/>
      <c r="U118" s="176"/>
    </row>
    <row r="119" spans="1:21" x14ac:dyDescent="0.2">
      <c r="A119" s="174"/>
      <c r="B119" s="120"/>
      <c r="C119" s="176"/>
      <c r="D119" s="176"/>
      <c r="E119" s="174"/>
      <c r="F119" s="174"/>
      <c r="G119" s="176"/>
      <c r="H119" s="174"/>
      <c r="I119" s="120"/>
      <c r="J119" s="176"/>
      <c r="K119" s="176"/>
      <c r="L119" s="174"/>
      <c r="M119" s="174"/>
      <c r="N119" s="176"/>
      <c r="O119" s="174"/>
      <c r="P119" s="120"/>
      <c r="Q119" s="176"/>
      <c r="R119" s="176"/>
      <c r="S119" s="174"/>
      <c r="T119" s="174"/>
      <c r="U119" s="176"/>
    </row>
    <row r="120" spans="1:21" x14ac:dyDescent="0.2">
      <c r="A120" s="174"/>
      <c r="B120" s="120"/>
      <c r="C120" s="176"/>
      <c r="D120" s="176"/>
      <c r="E120" s="174"/>
      <c r="F120" s="174"/>
      <c r="G120" s="176"/>
      <c r="H120" s="174"/>
      <c r="I120" s="120"/>
      <c r="J120" s="176"/>
      <c r="K120" s="176"/>
      <c r="L120" s="174"/>
      <c r="M120" s="174"/>
      <c r="N120" s="176"/>
      <c r="O120" s="174"/>
      <c r="P120" s="120"/>
      <c r="Q120" s="176"/>
      <c r="R120" s="176"/>
      <c r="S120" s="174"/>
      <c r="T120" s="174"/>
      <c r="U120" s="176"/>
    </row>
    <row r="121" spans="1:21" x14ac:dyDescent="0.2">
      <c r="A121" s="174"/>
      <c r="B121" s="120"/>
      <c r="C121" s="176"/>
      <c r="D121" s="176"/>
      <c r="E121" s="174"/>
      <c r="F121" s="174"/>
      <c r="G121" s="176"/>
      <c r="H121" s="174"/>
      <c r="I121" s="120"/>
      <c r="J121" s="176"/>
      <c r="K121" s="176"/>
      <c r="L121" s="174"/>
      <c r="M121" s="174"/>
      <c r="N121" s="176"/>
      <c r="O121" s="174"/>
      <c r="P121" s="120"/>
      <c r="Q121" s="176"/>
      <c r="R121" s="176"/>
      <c r="S121" s="174"/>
      <c r="T121" s="174"/>
      <c r="U121" s="176"/>
    </row>
    <row r="122" spans="1:21" x14ac:dyDescent="0.2">
      <c r="A122" s="174"/>
      <c r="B122" s="120"/>
      <c r="C122" s="176"/>
      <c r="D122" s="176"/>
      <c r="E122" s="174"/>
      <c r="F122" s="174"/>
      <c r="G122" s="176"/>
      <c r="H122" s="174"/>
      <c r="I122" s="120"/>
      <c r="J122" s="176"/>
      <c r="K122" s="176"/>
      <c r="L122" s="174"/>
      <c r="M122" s="174"/>
      <c r="N122" s="176"/>
      <c r="O122" s="174"/>
      <c r="P122" s="120"/>
      <c r="Q122" s="176"/>
      <c r="R122" s="176"/>
      <c r="S122" s="174"/>
      <c r="T122" s="174"/>
      <c r="U122" s="176"/>
    </row>
    <row r="123" spans="1:21" x14ac:dyDescent="0.2">
      <c r="A123" s="174"/>
      <c r="B123" s="120"/>
      <c r="C123" s="176"/>
      <c r="D123" s="176"/>
      <c r="E123" s="174"/>
      <c r="F123" s="174"/>
      <c r="G123" s="176"/>
      <c r="H123" s="174"/>
      <c r="I123" s="120"/>
      <c r="J123" s="176"/>
      <c r="K123" s="176"/>
      <c r="L123" s="174"/>
      <c r="M123" s="174"/>
      <c r="N123" s="176"/>
      <c r="O123" s="174"/>
      <c r="P123" s="120"/>
      <c r="Q123" s="176"/>
      <c r="R123" s="176"/>
      <c r="S123" s="174"/>
      <c r="T123" s="174"/>
      <c r="U123" s="176"/>
    </row>
    <row r="124" spans="1:21" x14ac:dyDescent="0.2">
      <c r="A124" s="174"/>
      <c r="B124" s="120"/>
      <c r="C124" s="176"/>
      <c r="D124" s="176"/>
      <c r="E124" s="174"/>
      <c r="F124" s="174"/>
      <c r="G124" s="176"/>
      <c r="H124" s="174"/>
      <c r="I124" s="120"/>
      <c r="J124" s="176"/>
      <c r="K124" s="176"/>
      <c r="L124" s="174"/>
      <c r="M124" s="174"/>
      <c r="N124" s="176"/>
      <c r="O124" s="174"/>
      <c r="P124" s="120"/>
      <c r="Q124" s="176"/>
      <c r="R124" s="176"/>
      <c r="S124" s="174"/>
      <c r="T124" s="174"/>
      <c r="U124" s="176"/>
    </row>
    <row r="125" spans="1:21" x14ac:dyDescent="0.2">
      <c r="A125" s="174"/>
      <c r="B125" s="120"/>
      <c r="C125" s="176"/>
      <c r="D125" s="176"/>
      <c r="E125" s="174"/>
      <c r="F125" s="174"/>
      <c r="G125" s="176"/>
      <c r="H125" s="174"/>
      <c r="I125" s="120"/>
      <c r="J125" s="176"/>
      <c r="K125" s="176"/>
      <c r="L125" s="174"/>
      <c r="M125" s="174"/>
      <c r="N125" s="176"/>
      <c r="O125" s="174"/>
      <c r="P125" s="120"/>
      <c r="Q125" s="176"/>
      <c r="R125" s="176"/>
      <c r="S125" s="174"/>
      <c r="T125" s="174"/>
      <c r="U125" s="176"/>
    </row>
    <row r="126" spans="1:21" x14ac:dyDescent="0.2">
      <c r="A126" s="174"/>
      <c r="B126" s="120"/>
      <c r="C126" s="176"/>
      <c r="D126" s="176"/>
      <c r="E126" s="174"/>
      <c r="F126" s="174"/>
      <c r="G126" s="176"/>
      <c r="H126" s="174"/>
      <c r="I126" s="120"/>
      <c r="J126" s="176"/>
      <c r="K126" s="176"/>
      <c r="L126" s="174"/>
      <c r="M126" s="174"/>
      <c r="N126" s="176"/>
      <c r="O126" s="174"/>
      <c r="P126" s="120"/>
      <c r="Q126" s="176"/>
      <c r="R126" s="176"/>
      <c r="S126" s="174"/>
      <c r="T126" s="174"/>
      <c r="U126" s="176"/>
    </row>
    <row r="127" spans="1:21" x14ac:dyDescent="0.2">
      <c r="A127" s="174"/>
      <c r="B127" s="120"/>
      <c r="C127" s="176"/>
      <c r="D127" s="176"/>
      <c r="E127" s="174"/>
      <c r="F127" s="174"/>
      <c r="G127" s="176"/>
      <c r="H127" s="174"/>
      <c r="I127" s="120"/>
      <c r="J127" s="176"/>
      <c r="K127" s="176"/>
      <c r="L127" s="174"/>
      <c r="M127" s="174"/>
      <c r="N127" s="176"/>
      <c r="O127" s="174"/>
      <c r="P127" s="120"/>
      <c r="Q127" s="176"/>
      <c r="R127" s="176"/>
      <c r="S127" s="174"/>
      <c r="T127" s="174"/>
      <c r="U127" s="176"/>
    </row>
    <row r="128" spans="1:21" x14ac:dyDescent="0.2">
      <c r="A128" s="174"/>
      <c r="B128" s="120"/>
      <c r="C128" s="176"/>
      <c r="D128" s="176"/>
      <c r="E128" s="174"/>
      <c r="F128" s="174"/>
      <c r="G128" s="176"/>
      <c r="H128" s="174"/>
      <c r="I128" s="120"/>
      <c r="J128" s="176"/>
      <c r="K128" s="176"/>
      <c r="L128" s="174"/>
      <c r="M128" s="174"/>
      <c r="N128" s="176"/>
      <c r="O128" s="174"/>
      <c r="P128" s="120"/>
      <c r="Q128" s="176"/>
      <c r="R128" s="176"/>
      <c r="S128" s="174"/>
      <c r="T128" s="174"/>
      <c r="U128" s="176"/>
    </row>
    <row r="129" spans="1:21" x14ac:dyDescent="0.2">
      <c r="A129" s="174"/>
      <c r="B129" s="120"/>
      <c r="C129" s="176"/>
      <c r="D129" s="176"/>
      <c r="E129" s="174"/>
      <c r="F129" s="174"/>
      <c r="G129" s="176"/>
      <c r="H129" s="174"/>
      <c r="I129" s="120"/>
      <c r="J129" s="176"/>
      <c r="K129" s="176"/>
      <c r="L129" s="174"/>
      <c r="M129" s="174"/>
      <c r="N129" s="176"/>
      <c r="O129" s="174"/>
      <c r="P129" s="120"/>
      <c r="Q129" s="176"/>
      <c r="R129" s="176"/>
      <c r="S129" s="174"/>
      <c r="T129" s="174"/>
      <c r="U129" s="176"/>
    </row>
    <row r="130" spans="1:21" x14ac:dyDescent="0.2">
      <c r="A130" s="174"/>
      <c r="B130" s="120"/>
      <c r="C130" s="176"/>
      <c r="D130" s="176"/>
      <c r="E130" s="174"/>
      <c r="F130" s="174"/>
      <c r="G130" s="176"/>
      <c r="H130" s="174"/>
      <c r="I130" s="120"/>
      <c r="J130" s="176"/>
      <c r="K130" s="176"/>
      <c r="L130" s="174"/>
      <c r="M130" s="174"/>
      <c r="N130" s="176"/>
      <c r="O130" s="174"/>
      <c r="P130" s="120"/>
      <c r="Q130" s="176"/>
      <c r="R130" s="176"/>
      <c r="S130" s="174"/>
      <c r="T130" s="174"/>
      <c r="U130" s="176"/>
    </row>
    <row r="131" spans="1:21" x14ac:dyDescent="0.2">
      <c r="A131" s="174"/>
      <c r="B131" s="120"/>
      <c r="C131" s="176"/>
      <c r="D131" s="176"/>
      <c r="E131" s="174"/>
      <c r="F131" s="174"/>
      <c r="G131" s="176"/>
      <c r="H131" s="174"/>
      <c r="I131" s="120"/>
      <c r="J131" s="176"/>
      <c r="K131" s="176"/>
      <c r="L131" s="174"/>
      <c r="M131" s="174"/>
      <c r="N131" s="176"/>
      <c r="O131" s="174"/>
      <c r="P131" s="120"/>
      <c r="Q131" s="176"/>
      <c r="R131" s="176"/>
      <c r="S131" s="174"/>
      <c r="T131" s="174"/>
      <c r="U131" s="176"/>
    </row>
    <row r="132" spans="1:21" x14ac:dyDescent="0.2">
      <c r="A132" s="174"/>
      <c r="B132" s="120"/>
      <c r="C132" s="176"/>
      <c r="D132" s="176"/>
      <c r="E132" s="174"/>
      <c r="F132" s="174"/>
      <c r="G132" s="176"/>
      <c r="H132" s="174"/>
      <c r="I132" s="120"/>
      <c r="J132" s="176"/>
      <c r="K132" s="176"/>
      <c r="L132" s="174"/>
      <c r="M132" s="174"/>
      <c r="N132" s="176"/>
      <c r="O132" s="174"/>
      <c r="P132" s="120"/>
      <c r="Q132" s="176"/>
      <c r="R132" s="176"/>
      <c r="S132" s="174"/>
      <c r="T132" s="174"/>
      <c r="U132" s="176"/>
    </row>
    <row r="133" spans="1:21" x14ac:dyDescent="0.2">
      <c r="A133" s="174"/>
      <c r="B133" s="120"/>
      <c r="C133" s="176"/>
      <c r="D133" s="176"/>
      <c r="E133" s="174"/>
      <c r="F133" s="174"/>
      <c r="G133" s="176"/>
      <c r="H133" s="174"/>
      <c r="I133" s="120"/>
      <c r="J133" s="176"/>
      <c r="K133" s="176"/>
      <c r="L133" s="174"/>
      <c r="M133" s="174"/>
      <c r="N133" s="176"/>
      <c r="O133" s="174"/>
      <c r="P133" s="120"/>
      <c r="Q133" s="176"/>
      <c r="R133" s="176"/>
      <c r="S133" s="174"/>
      <c r="T133" s="174"/>
      <c r="U133" s="176"/>
    </row>
    <row r="134" spans="1:21" x14ac:dyDescent="0.2">
      <c r="A134" s="174"/>
      <c r="B134" s="120"/>
      <c r="C134" s="176"/>
      <c r="D134" s="176"/>
      <c r="E134" s="174"/>
      <c r="F134" s="174"/>
      <c r="G134" s="176"/>
      <c r="H134" s="174"/>
      <c r="I134" s="120"/>
      <c r="J134" s="176"/>
      <c r="K134" s="176"/>
      <c r="L134" s="174"/>
      <c r="M134" s="174"/>
      <c r="N134" s="176"/>
      <c r="O134" s="174"/>
      <c r="P134" s="120"/>
      <c r="Q134" s="176"/>
      <c r="R134" s="176"/>
      <c r="S134" s="174"/>
      <c r="T134" s="174"/>
      <c r="U134" s="176"/>
    </row>
    <row r="135" spans="1:21" x14ac:dyDescent="0.2">
      <c r="A135" s="174"/>
      <c r="B135" s="120"/>
      <c r="C135" s="176"/>
      <c r="D135" s="176"/>
      <c r="E135" s="174"/>
      <c r="F135" s="174"/>
      <c r="G135" s="176"/>
      <c r="H135" s="174"/>
      <c r="I135" s="120"/>
      <c r="J135" s="176"/>
      <c r="K135" s="176"/>
      <c r="L135" s="174"/>
      <c r="M135" s="174"/>
      <c r="N135" s="176"/>
      <c r="O135" s="174"/>
      <c r="P135" s="120"/>
      <c r="Q135" s="176"/>
      <c r="R135" s="176"/>
      <c r="S135" s="174"/>
      <c r="T135" s="174"/>
      <c r="U135" s="176"/>
    </row>
    <row r="136" spans="1:21" x14ac:dyDescent="0.2">
      <c r="A136" s="174"/>
      <c r="B136" s="120"/>
      <c r="C136" s="176"/>
      <c r="D136" s="176"/>
      <c r="E136" s="174"/>
      <c r="F136" s="174"/>
      <c r="G136" s="176"/>
      <c r="H136" s="174"/>
      <c r="I136" s="120"/>
      <c r="J136" s="176"/>
      <c r="K136" s="176"/>
      <c r="L136" s="174"/>
      <c r="M136" s="174"/>
      <c r="N136" s="176"/>
      <c r="O136" s="174"/>
      <c r="P136" s="120"/>
      <c r="Q136" s="176"/>
      <c r="R136" s="176"/>
      <c r="S136" s="174"/>
      <c r="T136" s="174"/>
      <c r="U136" s="176"/>
    </row>
    <row r="137" spans="1:21" x14ac:dyDescent="0.2">
      <c r="A137" s="174"/>
      <c r="B137" s="120"/>
      <c r="C137" s="176"/>
      <c r="D137" s="176"/>
      <c r="E137" s="174"/>
      <c r="F137" s="174"/>
      <c r="G137" s="176"/>
      <c r="H137" s="174"/>
      <c r="I137" s="120"/>
      <c r="J137" s="176"/>
      <c r="K137" s="176"/>
      <c r="L137" s="174"/>
      <c r="M137" s="174"/>
      <c r="N137" s="176"/>
      <c r="O137" s="174"/>
      <c r="P137" s="120"/>
      <c r="Q137" s="176"/>
      <c r="R137" s="176"/>
      <c r="S137" s="174"/>
      <c r="T137" s="174"/>
      <c r="U137" s="176"/>
    </row>
    <row r="138" spans="1:21" x14ac:dyDescent="0.2">
      <c r="A138" s="174"/>
      <c r="B138" s="120"/>
      <c r="C138" s="176"/>
      <c r="D138" s="176"/>
      <c r="E138" s="174"/>
      <c r="F138" s="174"/>
      <c r="G138" s="176"/>
      <c r="H138" s="174"/>
      <c r="I138" s="120"/>
      <c r="J138" s="176"/>
      <c r="K138" s="176"/>
      <c r="L138" s="174"/>
      <c r="M138" s="174"/>
      <c r="N138" s="176"/>
      <c r="O138" s="174"/>
      <c r="P138" s="120"/>
      <c r="Q138" s="176"/>
      <c r="R138" s="176"/>
      <c r="S138" s="174"/>
      <c r="T138" s="174"/>
      <c r="U138" s="176"/>
    </row>
    <row r="139" spans="1:21" x14ac:dyDescent="0.2">
      <c r="A139" s="174"/>
      <c r="B139" s="120"/>
      <c r="C139" s="176"/>
      <c r="D139" s="176"/>
      <c r="E139" s="174"/>
      <c r="F139" s="174"/>
      <c r="G139" s="176"/>
      <c r="H139" s="174"/>
      <c r="I139" s="120"/>
      <c r="J139" s="176"/>
      <c r="K139" s="176"/>
      <c r="L139" s="174"/>
      <c r="M139" s="174"/>
      <c r="N139" s="176"/>
      <c r="O139" s="174"/>
      <c r="P139" s="120"/>
      <c r="Q139" s="176"/>
      <c r="R139" s="176"/>
      <c r="S139" s="174"/>
      <c r="T139" s="174"/>
      <c r="U139" s="176"/>
    </row>
    <row r="140" spans="1:21" x14ac:dyDescent="0.2">
      <c r="A140" s="174"/>
      <c r="B140" s="120"/>
      <c r="C140" s="176"/>
      <c r="D140" s="176"/>
      <c r="E140" s="174"/>
      <c r="F140" s="174"/>
      <c r="G140" s="176"/>
      <c r="H140" s="174"/>
      <c r="I140" s="120"/>
      <c r="J140" s="176"/>
      <c r="K140" s="176"/>
      <c r="L140" s="174"/>
      <c r="M140" s="174"/>
      <c r="N140" s="176"/>
      <c r="O140" s="174"/>
      <c r="P140" s="120"/>
      <c r="Q140" s="176"/>
      <c r="R140" s="176"/>
      <c r="S140" s="174"/>
      <c r="T140" s="174"/>
      <c r="U140" s="176"/>
    </row>
    <row r="141" spans="1:21" x14ac:dyDescent="0.2">
      <c r="A141" s="174"/>
      <c r="B141" s="120"/>
      <c r="C141" s="176"/>
      <c r="D141" s="176"/>
      <c r="E141" s="174"/>
      <c r="F141" s="174"/>
      <c r="G141" s="176"/>
      <c r="H141" s="174"/>
      <c r="I141" s="120"/>
      <c r="J141" s="176"/>
      <c r="K141" s="176"/>
      <c r="L141" s="174"/>
      <c r="M141" s="174"/>
      <c r="N141" s="176"/>
      <c r="O141" s="174"/>
      <c r="P141" s="120"/>
      <c r="Q141" s="176"/>
      <c r="R141" s="176"/>
      <c r="S141" s="174"/>
      <c r="T141" s="174"/>
      <c r="U141" s="176"/>
    </row>
    <row r="142" spans="1:21" x14ac:dyDescent="0.2">
      <c r="A142" s="174"/>
      <c r="B142" s="120"/>
      <c r="C142" s="176"/>
      <c r="D142" s="176"/>
      <c r="E142" s="174"/>
      <c r="F142" s="174"/>
      <c r="G142" s="176"/>
      <c r="H142" s="174"/>
      <c r="I142" s="120"/>
      <c r="J142" s="176"/>
      <c r="K142" s="176"/>
      <c r="L142" s="174"/>
      <c r="M142" s="174"/>
      <c r="N142" s="176"/>
      <c r="O142" s="174"/>
      <c r="P142" s="120"/>
      <c r="Q142" s="176"/>
      <c r="R142" s="176"/>
      <c r="S142" s="174"/>
      <c r="T142" s="174"/>
      <c r="U142" s="176"/>
    </row>
    <row r="143" spans="1:21" x14ac:dyDescent="0.2">
      <c r="A143" s="174"/>
      <c r="B143" s="120"/>
      <c r="C143" s="176"/>
      <c r="D143" s="176"/>
      <c r="E143" s="174"/>
      <c r="F143" s="174"/>
      <c r="G143" s="176"/>
      <c r="H143" s="174"/>
      <c r="I143" s="120"/>
      <c r="J143" s="176"/>
      <c r="K143" s="176"/>
      <c r="L143" s="174"/>
      <c r="M143" s="174"/>
      <c r="N143" s="176"/>
      <c r="O143" s="174"/>
      <c r="P143" s="120"/>
      <c r="Q143" s="176"/>
      <c r="R143" s="176"/>
      <c r="S143" s="174"/>
      <c r="T143" s="174"/>
      <c r="U143" s="176"/>
    </row>
    <row r="144" spans="1:21" x14ac:dyDescent="0.2">
      <c r="A144" s="174"/>
      <c r="B144" s="120"/>
      <c r="C144" s="176"/>
      <c r="D144" s="176"/>
      <c r="E144" s="174"/>
      <c r="F144" s="174"/>
      <c r="G144" s="176"/>
      <c r="H144" s="174"/>
      <c r="I144" s="120"/>
      <c r="J144" s="176"/>
      <c r="K144" s="176"/>
      <c r="L144" s="174"/>
      <c r="M144" s="174"/>
      <c r="N144" s="176"/>
      <c r="O144" s="174"/>
      <c r="P144" s="120"/>
      <c r="Q144" s="176"/>
      <c r="R144" s="176"/>
      <c r="S144" s="174"/>
      <c r="T144" s="174"/>
      <c r="U144" s="176"/>
    </row>
    <row r="145" spans="1:21" x14ac:dyDescent="0.2">
      <c r="A145" s="174"/>
      <c r="B145" s="120"/>
      <c r="C145" s="176"/>
      <c r="D145" s="176"/>
      <c r="E145" s="174"/>
      <c r="F145" s="174"/>
      <c r="G145" s="176"/>
      <c r="H145" s="174"/>
      <c r="I145" s="120"/>
      <c r="J145" s="176"/>
      <c r="K145" s="176"/>
      <c r="L145" s="174"/>
      <c r="M145" s="174"/>
      <c r="N145" s="176"/>
      <c r="O145" s="174"/>
      <c r="P145" s="120"/>
      <c r="Q145" s="176"/>
      <c r="R145" s="176"/>
      <c r="S145" s="174"/>
      <c r="T145" s="174"/>
      <c r="U145" s="176"/>
    </row>
    <row r="146" spans="1:21" x14ac:dyDescent="0.2">
      <c r="A146" s="174"/>
      <c r="B146" s="120"/>
      <c r="C146" s="176"/>
      <c r="D146" s="176"/>
      <c r="E146" s="174"/>
      <c r="F146" s="174"/>
      <c r="G146" s="176"/>
      <c r="H146" s="174"/>
      <c r="I146" s="120"/>
      <c r="J146" s="176"/>
      <c r="K146" s="176"/>
      <c r="L146" s="174"/>
      <c r="M146" s="174"/>
      <c r="N146" s="176"/>
      <c r="O146" s="174"/>
      <c r="P146" s="120"/>
      <c r="Q146" s="176"/>
      <c r="R146" s="176"/>
      <c r="S146" s="174"/>
      <c r="T146" s="174"/>
      <c r="U146" s="176"/>
    </row>
    <row r="147" spans="1:21" x14ac:dyDescent="0.2">
      <c r="A147" s="174"/>
      <c r="B147" s="120"/>
      <c r="C147" s="176"/>
      <c r="D147" s="176"/>
      <c r="E147" s="174"/>
      <c r="F147" s="174"/>
      <c r="G147" s="176"/>
      <c r="H147" s="174"/>
      <c r="I147" s="120"/>
      <c r="J147" s="176"/>
      <c r="K147" s="176"/>
      <c r="L147" s="174"/>
      <c r="M147" s="174"/>
      <c r="N147" s="176"/>
      <c r="O147" s="174"/>
      <c r="P147" s="120"/>
      <c r="Q147" s="176"/>
      <c r="R147" s="176"/>
      <c r="S147" s="174"/>
      <c r="T147" s="174"/>
      <c r="U147" s="176"/>
    </row>
    <row r="148" spans="1:21" x14ac:dyDescent="0.2">
      <c r="A148" s="174"/>
      <c r="B148" s="120"/>
      <c r="C148" s="176"/>
      <c r="D148" s="176"/>
      <c r="E148" s="174"/>
      <c r="F148" s="174"/>
      <c r="G148" s="176"/>
      <c r="H148" s="174"/>
      <c r="I148" s="120"/>
      <c r="J148" s="176"/>
      <c r="K148" s="176"/>
      <c r="L148" s="174"/>
      <c r="M148" s="174"/>
      <c r="N148" s="176"/>
      <c r="O148" s="174"/>
      <c r="P148" s="120"/>
      <c r="Q148" s="176"/>
      <c r="R148" s="176"/>
      <c r="S148" s="174"/>
      <c r="T148" s="174"/>
      <c r="U148" s="176"/>
    </row>
    <row r="149" spans="1:21" x14ac:dyDescent="0.2">
      <c r="A149" s="174"/>
      <c r="B149" s="120"/>
      <c r="C149" s="176"/>
      <c r="D149" s="176"/>
      <c r="E149" s="174"/>
      <c r="F149" s="174"/>
      <c r="G149" s="176"/>
      <c r="H149" s="174"/>
      <c r="I149" s="120"/>
      <c r="J149" s="176"/>
      <c r="K149" s="176"/>
      <c r="L149" s="174"/>
      <c r="M149" s="174"/>
      <c r="N149" s="176"/>
      <c r="O149" s="174"/>
      <c r="P149" s="120"/>
      <c r="Q149" s="176"/>
      <c r="R149" s="176"/>
      <c r="S149" s="174"/>
      <c r="T149" s="174"/>
      <c r="U149" s="176"/>
    </row>
    <row r="150" spans="1:21" x14ac:dyDescent="0.2">
      <c r="A150" s="174"/>
      <c r="B150" s="120"/>
      <c r="C150" s="176"/>
      <c r="D150" s="176"/>
      <c r="E150" s="174"/>
      <c r="F150" s="174"/>
      <c r="G150" s="176"/>
      <c r="H150" s="174"/>
      <c r="I150" s="120"/>
      <c r="J150" s="176"/>
      <c r="K150" s="176"/>
      <c r="L150" s="174"/>
      <c r="M150" s="174"/>
      <c r="N150" s="176"/>
      <c r="O150" s="174"/>
      <c r="P150" s="120"/>
      <c r="Q150" s="176"/>
      <c r="R150" s="176"/>
      <c r="S150" s="174"/>
      <c r="T150" s="174"/>
      <c r="U150" s="176"/>
    </row>
  </sheetData>
  <sheetProtection algorithmName="SHA-512" hashValue="HWSglwVwUMPCj324RoXRpaVnzb7bghpsV6QxxxMyt8eXfpThUHJyDrMWXus2R4tbhd8Kx3ccQBZnN8LJrRZYLQ==" saltValue="JzCJMTXVUyX+9qV4/ukxoA==" spinCount="100000" sheet="1" objects="1" scenarios="1"/>
  <mergeCells count="5">
    <mergeCell ref="F9:G9"/>
    <mergeCell ref="A9:A10"/>
    <mergeCell ref="B9:C9"/>
    <mergeCell ref="D9:E9"/>
    <mergeCell ref="A2:D2"/>
  </mergeCells>
  <pageMargins left="0.25" right="0.25" top="0.75" bottom="0.75" header="0.3" footer="0.3"/>
  <pageSetup paperSize="9" scale="58" fitToHeight="0" orientation="portrait" r:id="rId1"/>
  <headerFooter>
    <oddFooter>&amp;L&amp;D&amp;C&amp;P / &amp;N&amp;RSIAG</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3BA7B-7A96-4DF9-BDD4-F6F71796E1D1}">
  <sheetPr>
    <tabColor theme="1"/>
  </sheetPr>
  <dimension ref="A1:AW150"/>
  <sheetViews>
    <sheetView zoomScale="85" zoomScaleNormal="85" workbookViewId="0">
      <selection activeCell="B7" sqref="B7"/>
    </sheetView>
  </sheetViews>
  <sheetFormatPr baseColWidth="10" defaultColWidth="10.28515625" defaultRowHeight="15" x14ac:dyDescent="0.2"/>
  <cols>
    <col min="1" max="1" width="10.28515625" style="48"/>
    <col min="2" max="2" width="64.7109375" style="48" bestFit="1" customWidth="1"/>
    <col min="3" max="3" width="3" style="48" customWidth="1"/>
    <col min="4" max="4" width="10.28515625" style="48"/>
    <col min="5" max="5" width="71" style="48" customWidth="1"/>
    <col min="6" max="6" width="3" style="48" customWidth="1"/>
    <col min="7" max="9" width="10.28515625" style="48"/>
    <col min="10" max="10" width="10.28515625" style="48" customWidth="1"/>
    <col min="11" max="16384" width="10.28515625" style="48"/>
  </cols>
  <sheetData>
    <row r="1" spans="1:49" ht="5.0999999999999996" customHeight="1" x14ac:dyDescent="0.2">
      <c r="A1" s="47"/>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row>
    <row r="2" spans="1:49" ht="26.25" x14ac:dyDescent="0.4">
      <c r="A2" s="442" t="s">
        <v>495</v>
      </c>
      <c r="B2" s="442"/>
      <c r="C2" s="442"/>
      <c r="D2" s="442"/>
      <c r="E2" s="442"/>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row>
    <row r="3" spans="1:49" ht="5.0999999999999996" customHeight="1" thickBot="1" x14ac:dyDescent="0.25">
      <c r="A3" s="50"/>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row>
    <row r="4" spans="1:49" ht="15.95" customHeight="1" x14ac:dyDescent="0.25">
      <c r="A4" s="459" t="s">
        <v>496</v>
      </c>
      <c r="B4" s="460"/>
      <c r="C4" s="51"/>
      <c r="D4" s="461" t="s">
        <v>497</v>
      </c>
      <c r="E4" s="461"/>
      <c r="F4" s="316"/>
      <c r="G4" s="31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row>
    <row r="5" spans="1:49" ht="15.95" customHeight="1" x14ac:dyDescent="0.2">
      <c r="A5" s="52" t="s">
        <v>498</v>
      </c>
      <c r="B5" s="53" t="s">
        <v>499</v>
      </c>
      <c r="C5" s="47"/>
      <c r="D5" s="52">
        <v>0</v>
      </c>
      <c r="E5" s="53" t="s">
        <v>500</v>
      </c>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row>
    <row r="6" spans="1:49" ht="15.95" customHeight="1" x14ac:dyDescent="0.2">
      <c r="A6" s="54" t="s">
        <v>385</v>
      </c>
      <c r="B6" s="55" t="s">
        <v>501</v>
      </c>
      <c r="C6" s="47"/>
      <c r="D6" s="54">
        <v>1</v>
      </c>
      <c r="E6" s="55" t="s">
        <v>502</v>
      </c>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row>
    <row r="7" spans="1:49" ht="15.95" customHeight="1" x14ac:dyDescent="0.2">
      <c r="A7" s="54" t="s">
        <v>503</v>
      </c>
      <c r="B7" s="55" t="s">
        <v>504</v>
      </c>
      <c r="C7" s="47"/>
      <c r="D7" s="54">
        <v>2</v>
      </c>
      <c r="E7" s="55" t="s">
        <v>505</v>
      </c>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row>
    <row r="8" spans="1:49" ht="15.95" customHeight="1" x14ac:dyDescent="0.2">
      <c r="A8" s="54" t="s">
        <v>489</v>
      </c>
      <c r="B8" s="55" t="s">
        <v>506</v>
      </c>
      <c r="C8" s="47"/>
      <c r="D8" s="54">
        <v>3</v>
      </c>
      <c r="E8" s="55" t="s">
        <v>507</v>
      </c>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row>
    <row r="9" spans="1:49" ht="15.95" customHeight="1" x14ac:dyDescent="0.2">
      <c r="A9" s="54" t="s">
        <v>508</v>
      </c>
      <c r="B9" s="55" t="s">
        <v>509</v>
      </c>
      <c r="C9" s="47"/>
      <c r="D9" s="54">
        <v>4</v>
      </c>
      <c r="E9" s="55" t="s">
        <v>510</v>
      </c>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row>
    <row r="10" spans="1:49" ht="15.95" customHeight="1" thickBot="1" x14ac:dyDescent="0.25">
      <c r="A10" s="56" t="s">
        <v>11</v>
      </c>
      <c r="B10" s="57" t="s">
        <v>511</v>
      </c>
      <c r="C10" s="47"/>
      <c r="D10" s="54" t="s">
        <v>385</v>
      </c>
      <c r="E10" s="55" t="s">
        <v>512</v>
      </c>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row>
    <row r="11" spans="1:49" ht="15.95" customHeight="1" thickBot="1" x14ac:dyDescent="0.25">
      <c r="A11" s="58"/>
      <c r="B11" s="59"/>
      <c r="C11" s="47"/>
      <c r="D11" s="60"/>
      <c r="E11" s="61" t="s">
        <v>513</v>
      </c>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row>
    <row r="12" spans="1:49" ht="15.95" customHeight="1" x14ac:dyDescent="0.25">
      <c r="A12" s="451" t="s">
        <v>496</v>
      </c>
      <c r="B12" s="452"/>
      <c r="C12" s="47"/>
      <c r="D12" s="457" t="s">
        <v>514</v>
      </c>
      <c r="E12" s="458"/>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row>
    <row r="13" spans="1:49" ht="15.95" customHeight="1" x14ac:dyDescent="0.2">
      <c r="A13" s="52" t="s">
        <v>498</v>
      </c>
      <c r="B13" s="53" t="s">
        <v>658</v>
      </c>
      <c r="C13" s="47"/>
      <c r="D13" s="443" t="s">
        <v>385</v>
      </c>
      <c r="E13" s="446" t="s">
        <v>515</v>
      </c>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row>
    <row r="14" spans="1:49" ht="15.95" customHeight="1" x14ac:dyDescent="0.2">
      <c r="A14" s="54" t="s">
        <v>385</v>
      </c>
      <c r="B14" s="55" t="s">
        <v>659</v>
      </c>
      <c r="C14" s="47"/>
      <c r="D14" s="443"/>
      <c r="E14" s="446"/>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row>
    <row r="15" spans="1:49" ht="15.95" customHeight="1" x14ac:dyDescent="0.2">
      <c r="A15" s="54" t="s">
        <v>503</v>
      </c>
      <c r="B15" s="55" t="s">
        <v>660</v>
      </c>
      <c r="C15" s="47"/>
      <c r="D15" s="443"/>
      <c r="E15" s="446"/>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row>
    <row r="16" spans="1:49" ht="15.95" customHeight="1" x14ac:dyDescent="0.2">
      <c r="A16" s="54" t="s">
        <v>489</v>
      </c>
      <c r="B16" s="55" t="s">
        <v>661</v>
      </c>
      <c r="C16" s="47"/>
      <c r="D16" s="443"/>
      <c r="E16" s="446"/>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row>
    <row r="17" spans="1:49" ht="15.95" customHeight="1" x14ac:dyDescent="0.2">
      <c r="A17" s="54" t="s">
        <v>508</v>
      </c>
      <c r="B17" s="55" t="s">
        <v>662</v>
      </c>
      <c r="C17" s="47"/>
      <c r="D17" s="445"/>
      <c r="E17" s="448"/>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row>
    <row r="18" spans="1:49" ht="15.95" customHeight="1" thickBot="1" x14ac:dyDescent="0.25">
      <c r="A18" s="56" t="s">
        <v>11</v>
      </c>
      <c r="B18" s="57" t="s">
        <v>663</v>
      </c>
      <c r="C18" s="47"/>
      <c r="D18" s="62"/>
      <c r="E18" s="63"/>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row>
    <row r="19" spans="1:49" ht="15.95" customHeight="1" thickBot="1" x14ac:dyDescent="0.3">
      <c r="A19" s="453"/>
      <c r="B19" s="454"/>
      <c r="C19" s="47"/>
      <c r="D19" s="449" t="s">
        <v>516</v>
      </c>
      <c r="E19" s="450"/>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row>
    <row r="20" spans="1:49" ht="15.95" customHeight="1" x14ac:dyDescent="0.25">
      <c r="A20" s="451" t="s">
        <v>496</v>
      </c>
      <c r="B20" s="452"/>
      <c r="C20" s="47"/>
      <c r="D20" s="52">
        <v>0</v>
      </c>
      <c r="E20" s="53" t="s">
        <v>517</v>
      </c>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row>
    <row r="21" spans="1:49" ht="15.95" customHeight="1" x14ac:dyDescent="0.2">
      <c r="A21" s="52" t="s">
        <v>498</v>
      </c>
      <c r="B21" s="53" t="s">
        <v>664</v>
      </c>
      <c r="C21" s="47"/>
      <c r="D21" s="54">
        <v>1</v>
      </c>
      <c r="E21" s="55" t="s">
        <v>518</v>
      </c>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row>
    <row r="22" spans="1:49" ht="15.95" customHeight="1" x14ac:dyDescent="0.2">
      <c r="A22" s="54" t="s">
        <v>385</v>
      </c>
      <c r="B22" s="55" t="s">
        <v>665</v>
      </c>
      <c r="C22" s="47"/>
      <c r="D22" s="54">
        <v>2</v>
      </c>
      <c r="E22" s="55" t="s">
        <v>519</v>
      </c>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row>
    <row r="23" spans="1:49" ht="15.95" customHeight="1" x14ac:dyDescent="0.2">
      <c r="A23" s="54" t="s">
        <v>503</v>
      </c>
      <c r="B23" s="55" t="s">
        <v>666</v>
      </c>
      <c r="C23" s="47"/>
      <c r="D23" s="54">
        <v>3</v>
      </c>
      <c r="E23" s="55" t="s">
        <v>520</v>
      </c>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row>
    <row r="24" spans="1:49" ht="15.95" customHeight="1" x14ac:dyDescent="0.2">
      <c r="A24" s="54" t="s">
        <v>489</v>
      </c>
      <c r="B24" s="55" t="s">
        <v>667</v>
      </c>
      <c r="C24" s="47"/>
      <c r="D24" s="54">
        <v>4</v>
      </c>
      <c r="E24" s="55" t="s">
        <v>521</v>
      </c>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row>
    <row r="25" spans="1:49" ht="15.95" customHeight="1" x14ac:dyDescent="0.2">
      <c r="A25" s="54" t="s">
        <v>508</v>
      </c>
      <c r="B25" s="55" t="s">
        <v>668</v>
      </c>
      <c r="C25" s="47"/>
      <c r="D25" s="54" t="s">
        <v>385</v>
      </c>
      <c r="E25" s="55" t="s">
        <v>522</v>
      </c>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row>
    <row r="26" spans="1:49" ht="15.95" customHeight="1" thickBot="1" x14ac:dyDescent="0.25">
      <c r="A26" s="56" t="s">
        <v>11</v>
      </c>
      <c r="B26" s="57" t="s">
        <v>669</v>
      </c>
      <c r="C26" s="47"/>
      <c r="D26" s="60"/>
      <c r="E26" s="61" t="s">
        <v>523</v>
      </c>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row>
    <row r="27" spans="1:49" ht="15.95" customHeight="1" thickBot="1" x14ac:dyDescent="0.3">
      <c r="A27" s="455"/>
      <c r="B27" s="456"/>
      <c r="C27" s="47"/>
      <c r="D27" s="457" t="s">
        <v>524</v>
      </c>
      <c r="E27" s="458"/>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row>
    <row r="28" spans="1:49" s="65" customFormat="1" ht="15.95" customHeight="1" x14ac:dyDescent="0.25">
      <c r="A28" s="451" t="s">
        <v>496</v>
      </c>
      <c r="B28" s="452"/>
      <c r="C28" s="64"/>
      <c r="D28" s="443" t="s">
        <v>385</v>
      </c>
      <c r="E28" s="446" t="s">
        <v>525</v>
      </c>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row>
    <row r="29" spans="1:49" s="65" customFormat="1" ht="15.95" customHeight="1" x14ac:dyDescent="0.2">
      <c r="A29" s="52" t="s">
        <v>498</v>
      </c>
      <c r="B29" s="53" t="s">
        <v>670</v>
      </c>
      <c r="C29" s="64"/>
      <c r="D29" s="443"/>
      <c r="E29" s="446"/>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row>
    <row r="30" spans="1:49" s="65" customFormat="1" ht="15.95" customHeight="1" x14ac:dyDescent="0.2">
      <c r="A30" s="54" t="s">
        <v>385</v>
      </c>
      <c r="B30" s="55" t="s">
        <v>671</v>
      </c>
      <c r="C30" s="64"/>
      <c r="D30" s="443"/>
      <c r="E30" s="446"/>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4"/>
      <c r="AN30" s="64"/>
      <c r="AO30" s="64"/>
      <c r="AP30" s="64"/>
      <c r="AQ30" s="64"/>
      <c r="AR30" s="64"/>
      <c r="AS30" s="64"/>
      <c r="AT30" s="64"/>
      <c r="AU30" s="64"/>
      <c r="AV30" s="64"/>
      <c r="AW30" s="64"/>
    </row>
    <row r="31" spans="1:49" s="65" customFormat="1" ht="15.95" customHeight="1" x14ac:dyDescent="0.2">
      <c r="A31" s="54" t="s">
        <v>503</v>
      </c>
      <c r="B31" s="55" t="s">
        <v>672</v>
      </c>
      <c r="C31" s="64"/>
      <c r="D31" s="444"/>
      <c r="E31" s="447"/>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row>
    <row r="32" spans="1:49" s="65" customFormat="1" ht="15.95" customHeight="1" x14ac:dyDescent="0.2">
      <c r="A32" s="54" t="s">
        <v>489</v>
      </c>
      <c r="B32" s="55" t="s">
        <v>673</v>
      </c>
      <c r="C32" s="64"/>
      <c r="D32" s="445"/>
      <c r="E32" s="448"/>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row>
    <row r="33" spans="1:49" ht="15.95" customHeight="1" x14ac:dyDescent="0.2">
      <c r="A33" s="54" t="s">
        <v>508</v>
      </c>
      <c r="B33" s="55" t="s">
        <v>674</v>
      </c>
      <c r="C33" s="47"/>
      <c r="D33" s="62"/>
      <c r="E33" s="63"/>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row>
    <row r="34" spans="1:49" ht="15.95" customHeight="1" thickBot="1" x14ac:dyDescent="0.3">
      <c r="A34" s="56" t="s">
        <v>11</v>
      </c>
      <c r="B34" s="57" t="s">
        <v>675</v>
      </c>
      <c r="C34" s="47"/>
      <c r="D34" s="449" t="s">
        <v>526</v>
      </c>
      <c r="E34" s="450"/>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row>
    <row r="35" spans="1:49" ht="15.95" customHeight="1" x14ac:dyDescent="0.2">
      <c r="A35" s="66"/>
      <c r="B35" s="67"/>
      <c r="C35" s="47"/>
      <c r="D35" s="52">
        <v>0</v>
      </c>
      <c r="E35" s="53" t="s">
        <v>527</v>
      </c>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ht="15.95" customHeight="1" x14ac:dyDescent="0.2">
      <c r="A36" s="68"/>
      <c r="B36" s="69"/>
      <c r="C36" s="47"/>
      <c r="D36" s="54">
        <v>1</v>
      </c>
      <c r="E36" s="55" t="s">
        <v>528</v>
      </c>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row>
    <row r="37" spans="1:49" ht="15.95" customHeight="1" x14ac:dyDescent="0.2">
      <c r="A37" s="68"/>
      <c r="B37" s="69"/>
      <c r="C37" s="47"/>
      <c r="D37" s="54">
        <v>2</v>
      </c>
      <c r="E37" s="55" t="s">
        <v>529</v>
      </c>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row>
    <row r="38" spans="1:49" ht="15.95" customHeight="1" x14ac:dyDescent="0.2">
      <c r="A38" s="68"/>
      <c r="B38" s="69"/>
      <c r="C38" s="47"/>
      <c r="D38" s="54">
        <v>3</v>
      </c>
      <c r="E38" s="55" t="s">
        <v>530</v>
      </c>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row>
    <row r="39" spans="1:49" ht="15.95" customHeight="1" x14ac:dyDescent="0.2">
      <c r="A39" s="68"/>
      <c r="B39" s="69"/>
      <c r="C39" s="47"/>
      <c r="D39" s="54">
        <v>4</v>
      </c>
      <c r="E39" s="55" t="s">
        <v>531</v>
      </c>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row>
    <row r="40" spans="1:49" ht="15.95" customHeight="1" x14ac:dyDescent="0.2">
      <c r="A40" s="68"/>
      <c r="B40" s="69"/>
      <c r="C40" s="47"/>
      <c r="D40" s="54" t="s">
        <v>385</v>
      </c>
      <c r="E40" s="55" t="s">
        <v>532</v>
      </c>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row>
    <row r="41" spans="1:49" ht="15.95" customHeight="1" x14ac:dyDescent="0.2">
      <c r="A41" s="70"/>
      <c r="B41" s="71"/>
      <c r="C41" s="47"/>
      <c r="D41" s="60"/>
      <c r="E41" s="61" t="s">
        <v>533</v>
      </c>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row>
    <row r="42" spans="1:49" ht="15.95" customHeight="1" x14ac:dyDescent="0.25">
      <c r="A42" s="462"/>
      <c r="B42" s="462"/>
      <c r="C42" s="47"/>
      <c r="D42" s="457" t="s">
        <v>514</v>
      </c>
      <c r="E42" s="458"/>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row>
    <row r="43" spans="1:49" ht="15.95" customHeight="1" x14ac:dyDescent="0.2">
      <c r="A43" s="463"/>
      <c r="B43" s="464"/>
      <c r="C43" s="47"/>
      <c r="D43" s="443" t="s">
        <v>385</v>
      </c>
      <c r="E43" s="446" t="s">
        <v>534</v>
      </c>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row>
    <row r="44" spans="1:49" ht="15.95" customHeight="1" x14ac:dyDescent="0.2">
      <c r="A44" s="463"/>
      <c r="B44" s="464"/>
      <c r="C44" s="47"/>
      <c r="D44" s="443"/>
      <c r="E44" s="446"/>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row>
    <row r="45" spans="1:49" ht="15.95" customHeight="1" x14ac:dyDescent="0.2">
      <c r="A45" s="463"/>
      <c r="B45" s="464"/>
      <c r="C45" s="47"/>
      <c r="D45" s="443"/>
      <c r="E45" s="446"/>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row>
    <row r="46" spans="1:49" ht="15.95" customHeight="1" x14ac:dyDescent="0.2">
      <c r="A46" s="463"/>
      <c r="B46" s="464"/>
      <c r="C46" s="47"/>
      <c r="D46" s="444"/>
      <c r="E46" s="4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row>
    <row r="47" spans="1:49" ht="15.95" customHeight="1" x14ac:dyDescent="0.2">
      <c r="A47" s="463"/>
      <c r="B47" s="464"/>
      <c r="C47" s="47"/>
      <c r="D47" s="445"/>
      <c r="E47" s="448"/>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ht="15.95" customHeight="1" x14ac:dyDescent="0.2">
      <c r="A48" s="47"/>
      <c r="B48" s="47"/>
      <c r="C48" s="47"/>
      <c r="D48" s="62"/>
      <c r="E48" s="63"/>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row>
    <row r="49" spans="1:49" ht="15.95" customHeight="1" x14ac:dyDescent="0.25">
      <c r="A49" s="465"/>
      <c r="B49" s="465"/>
      <c r="C49" s="47"/>
      <c r="D49" s="449" t="s">
        <v>535</v>
      </c>
      <c r="E49" s="450"/>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row>
    <row r="50" spans="1:49" ht="15.95" customHeight="1" x14ac:dyDescent="0.2">
      <c r="A50" s="68"/>
      <c r="B50" s="69"/>
      <c r="C50" s="47"/>
      <c r="D50" s="52">
        <v>0</v>
      </c>
      <c r="E50" s="72" t="s">
        <v>536</v>
      </c>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row>
    <row r="51" spans="1:49" ht="15.95" customHeight="1" x14ac:dyDescent="0.2">
      <c r="A51" s="68"/>
      <c r="B51" s="69"/>
      <c r="C51" s="47"/>
      <c r="D51" s="54">
        <v>1</v>
      </c>
      <c r="E51" s="72" t="s">
        <v>537</v>
      </c>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row>
    <row r="52" spans="1:49" ht="15.95" customHeight="1" x14ac:dyDescent="0.2">
      <c r="A52" s="68"/>
      <c r="B52" s="69"/>
      <c r="C52" s="47"/>
      <c r="D52" s="54">
        <v>2</v>
      </c>
      <c r="E52" s="72" t="s">
        <v>538</v>
      </c>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row>
    <row r="53" spans="1:49" ht="15.95" customHeight="1" x14ac:dyDescent="0.2">
      <c r="A53" s="68"/>
      <c r="B53" s="69"/>
      <c r="C53" s="47"/>
      <c r="D53" s="54">
        <v>3</v>
      </c>
      <c r="E53" s="72" t="s">
        <v>539</v>
      </c>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row>
    <row r="54" spans="1:49" ht="15.95" customHeight="1" x14ac:dyDescent="0.2">
      <c r="A54" s="68"/>
      <c r="B54" s="69"/>
      <c r="C54" s="47"/>
      <c r="D54" s="54">
        <v>4</v>
      </c>
      <c r="E54" s="72" t="s">
        <v>540</v>
      </c>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row>
    <row r="55" spans="1:49" ht="15.95" customHeight="1" x14ac:dyDescent="0.2">
      <c r="A55" s="68"/>
      <c r="B55" s="69"/>
      <c r="C55" s="47"/>
      <c r="D55" s="54" t="s">
        <v>385</v>
      </c>
      <c r="E55" s="73" t="s">
        <v>541</v>
      </c>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row>
    <row r="56" spans="1:49" ht="15.95" customHeight="1" x14ac:dyDescent="0.2">
      <c r="A56" s="70"/>
      <c r="B56" s="71"/>
      <c r="C56" s="47"/>
      <c r="D56" s="60"/>
      <c r="E56" s="61" t="s">
        <v>542</v>
      </c>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row>
    <row r="57" spans="1:49" ht="15.95" customHeight="1" x14ac:dyDescent="0.25">
      <c r="A57" s="462"/>
      <c r="B57" s="462"/>
      <c r="C57" s="47"/>
      <c r="D57" s="457" t="s">
        <v>514</v>
      </c>
      <c r="E57" s="458"/>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row>
    <row r="58" spans="1:49" ht="15.95" customHeight="1" x14ac:dyDescent="0.2">
      <c r="A58" s="463"/>
      <c r="B58" s="464"/>
      <c r="C58" s="47"/>
      <c r="D58" s="443" t="s">
        <v>385</v>
      </c>
      <c r="E58" s="446" t="s">
        <v>543</v>
      </c>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row>
    <row r="59" spans="1:49" ht="15.95" customHeight="1" x14ac:dyDescent="0.2">
      <c r="A59" s="463"/>
      <c r="B59" s="464"/>
      <c r="C59" s="47"/>
      <c r="D59" s="443"/>
      <c r="E59" s="446"/>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95" customHeight="1" x14ac:dyDescent="0.2">
      <c r="A60" s="463"/>
      <c r="B60" s="464"/>
      <c r="C60" s="47"/>
      <c r="D60" s="443"/>
      <c r="E60" s="446"/>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row>
    <row r="61" spans="1:49" ht="15" customHeight="1" x14ac:dyDescent="0.2">
      <c r="A61" s="463"/>
      <c r="B61" s="464"/>
      <c r="C61" s="47"/>
      <c r="D61" s="444"/>
      <c r="E61" s="4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row>
    <row r="62" spans="1:49" ht="15.75" customHeight="1" thickBot="1" x14ac:dyDescent="0.25">
      <c r="A62" s="463"/>
      <c r="B62" s="464"/>
      <c r="C62" s="47"/>
      <c r="D62" s="466"/>
      <c r="E62" s="46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row>
    <row r="63" spans="1:49" s="47" customFormat="1" ht="15" customHeight="1" x14ac:dyDescent="0.2"/>
    <row r="64" spans="1:49" s="47" customFormat="1" ht="15" customHeight="1" x14ac:dyDescent="0.2"/>
    <row r="65" s="47" customFormat="1" ht="15" customHeight="1" x14ac:dyDescent="0.2"/>
    <row r="66" s="47" customFormat="1" ht="15" customHeight="1" x14ac:dyDescent="0.2"/>
    <row r="67" s="47" customFormat="1" x14ac:dyDescent="0.2"/>
    <row r="68" s="47" customFormat="1" x14ac:dyDescent="0.2"/>
    <row r="69" s="47" customFormat="1" x14ac:dyDescent="0.2"/>
    <row r="70" s="47" customFormat="1" x14ac:dyDescent="0.2"/>
    <row r="71" s="47" customFormat="1" x14ac:dyDescent="0.2"/>
    <row r="72" s="47" customFormat="1" x14ac:dyDescent="0.2"/>
    <row r="73" s="47" customFormat="1" x14ac:dyDescent="0.2"/>
    <row r="74" s="47" customFormat="1" x14ac:dyDescent="0.2"/>
    <row r="75" s="47" customFormat="1" x14ac:dyDescent="0.2"/>
    <row r="76" s="47" customFormat="1" x14ac:dyDescent="0.2"/>
    <row r="77" s="47" customFormat="1" x14ac:dyDescent="0.2"/>
    <row r="78" s="47" customFormat="1" x14ac:dyDescent="0.2"/>
    <row r="79" s="47" customFormat="1" x14ac:dyDescent="0.2"/>
    <row r="80" s="47" customFormat="1" x14ac:dyDescent="0.2"/>
    <row r="81" s="47" customFormat="1" x14ac:dyDescent="0.2"/>
    <row r="82" s="47" customFormat="1" x14ac:dyDescent="0.2"/>
    <row r="83" s="47" customFormat="1" x14ac:dyDescent="0.2"/>
    <row r="84" s="47" customFormat="1" x14ac:dyDescent="0.2"/>
    <row r="85" s="47" customFormat="1" x14ac:dyDescent="0.2"/>
    <row r="86" s="47" customFormat="1" x14ac:dyDescent="0.2"/>
    <row r="87" s="47" customFormat="1" x14ac:dyDescent="0.2"/>
    <row r="88" s="47" customFormat="1" x14ac:dyDescent="0.2"/>
    <row r="89" s="47" customFormat="1" x14ac:dyDescent="0.2"/>
    <row r="90" s="47" customFormat="1" x14ac:dyDescent="0.2"/>
    <row r="91" s="47" customFormat="1" x14ac:dyDescent="0.2"/>
    <row r="92" s="47" customFormat="1" x14ac:dyDescent="0.2"/>
    <row r="93" s="47" customFormat="1" x14ac:dyDescent="0.2"/>
    <row r="94" s="47" customFormat="1" x14ac:dyDescent="0.2"/>
    <row r="95" s="47" customFormat="1" x14ac:dyDescent="0.2"/>
    <row r="96" s="47" customFormat="1" x14ac:dyDescent="0.2"/>
    <row r="97" s="47" customFormat="1" x14ac:dyDescent="0.2"/>
    <row r="98" s="47" customFormat="1" x14ac:dyDescent="0.2"/>
    <row r="99" s="47" customFormat="1" x14ac:dyDescent="0.2"/>
    <row r="100" s="47" customFormat="1" x14ac:dyDescent="0.2"/>
    <row r="101" s="47" customFormat="1" x14ac:dyDescent="0.2"/>
    <row r="102" s="47" customFormat="1" x14ac:dyDescent="0.2"/>
    <row r="103" s="47" customFormat="1" x14ac:dyDescent="0.2"/>
    <row r="104" s="47" customFormat="1" x14ac:dyDescent="0.2"/>
    <row r="105" s="47" customFormat="1" x14ac:dyDescent="0.2"/>
    <row r="106" s="47" customFormat="1" x14ac:dyDescent="0.2"/>
    <row r="107" s="47" customFormat="1" x14ac:dyDescent="0.2"/>
    <row r="108" s="47" customFormat="1" x14ac:dyDescent="0.2"/>
    <row r="109" s="47" customFormat="1" x14ac:dyDescent="0.2"/>
    <row r="110" s="47" customFormat="1" x14ac:dyDescent="0.2"/>
    <row r="111" s="47" customFormat="1" x14ac:dyDescent="0.2"/>
    <row r="112" s="47" customFormat="1" x14ac:dyDescent="0.2"/>
    <row r="113" s="47" customFormat="1" x14ac:dyDescent="0.2"/>
    <row r="114" s="47" customFormat="1" x14ac:dyDescent="0.2"/>
    <row r="115" s="47" customFormat="1" x14ac:dyDescent="0.2"/>
    <row r="116" s="47" customFormat="1" x14ac:dyDescent="0.2"/>
    <row r="117" s="47" customFormat="1" x14ac:dyDescent="0.2"/>
    <row r="118" s="47" customFormat="1" x14ac:dyDescent="0.2"/>
    <row r="119" s="47" customFormat="1" x14ac:dyDescent="0.2"/>
    <row r="120" s="47" customFormat="1" x14ac:dyDescent="0.2"/>
    <row r="121" s="47" customFormat="1" x14ac:dyDescent="0.2"/>
    <row r="122" s="47" customFormat="1" x14ac:dyDescent="0.2"/>
    <row r="123" s="47" customFormat="1" x14ac:dyDescent="0.2"/>
    <row r="124" s="47" customFormat="1" x14ac:dyDescent="0.2"/>
    <row r="125" s="47" customFormat="1" x14ac:dyDescent="0.2"/>
    <row r="126" s="47" customFormat="1" x14ac:dyDescent="0.2"/>
    <row r="127" s="47" customFormat="1" x14ac:dyDescent="0.2"/>
    <row r="128" s="47" customFormat="1" x14ac:dyDescent="0.2"/>
    <row r="129" s="47" customFormat="1" x14ac:dyDescent="0.2"/>
    <row r="130" s="47" customFormat="1" x14ac:dyDescent="0.2"/>
    <row r="131" s="47" customFormat="1" x14ac:dyDescent="0.2"/>
    <row r="132" s="47" customFormat="1" x14ac:dyDescent="0.2"/>
    <row r="133" s="47" customFormat="1" x14ac:dyDescent="0.2"/>
    <row r="134" s="47" customFormat="1" x14ac:dyDescent="0.2"/>
    <row r="135" s="47" customFormat="1" x14ac:dyDescent="0.2"/>
    <row r="136" s="47" customFormat="1" x14ac:dyDescent="0.2"/>
    <row r="137" s="47" customFormat="1" x14ac:dyDescent="0.2"/>
    <row r="138" s="47" customFormat="1" x14ac:dyDescent="0.2"/>
    <row r="139" s="47" customFormat="1" x14ac:dyDescent="0.2"/>
    <row r="140" s="47" customFormat="1" x14ac:dyDescent="0.2"/>
    <row r="141" s="47" customFormat="1" x14ac:dyDescent="0.2"/>
    <row r="142" s="47" customFormat="1" x14ac:dyDescent="0.2"/>
    <row r="143" s="47" customFormat="1" x14ac:dyDescent="0.2"/>
    <row r="144" s="47" customFormat="1" x14ac:dyDescent="0.2"/>
    <row r="145" s="47" customFormat="1" x14ac:dyDescent="0.2"/>
    <row r="146" s="47" customFormat="1" x14ac:dyDescent="0.2"/>
    <row r="147" s="47" customFormat="1" x14ac:dyDescent="0.2"/>
    <row r="148" s="47" customFormat="1" x14ac:dyDescent="0.2"/>
    <row r="149" s="47" customFormat="1" x14ac:dyDescent="0.2"/>
    <row r="150" s="47" customFormat="1" x14ac:dyDescent="0.2"/>
  </sheetData>
  <sheetProtection algorithmName="SHA-512" hashValue="kJ9Q+jtIwHi4cmRlO7wgkfD1CkyLhlU/NwfSHnUqDOwWRWTmfXWPC1gF4ICs1jQFqf0J7AaoiclZzK8S0ocWRw==" saltValue="dULzFUne8AXF6TD1+qYZyg==" spinCount="100000" sheet="1" objects="1" scenarios="1"/>
  <mergeCells count="30">
    <mergeCell ref="A49:B49"/>
    <mergeCell ref="D49:E49"/>
    <mergeCell ref="A57:B57"/>
    <mergeCell ref="D57:E57"/>
    <mergeCell ref="A58:A62"/>
    <mergeCell ref="B58:B62"/>
    <mergeCell ref="D58:D62"/>
    <mergeCell ref="E58:E62"/>
    <mergeCell ref="A42:B42"/>
    <mergeCell ref="D42:E42"/>
    <mergeCell ref="A43:A47"/>
    <mergeCell ref="B43:B47"/>
    <mergeCell ref="D43:D47"/>
    <mergeCell ref="E43:E47"/>
    <mergeCell ref="A2:E2"/>
    <mergeCell ref="D28:D32"/>
    <mergeCell ref="E28:E32"/>
    <mergeCell ref="D34:E34"/>
    <mergeCell ref="A28:B28"/>
    <mergeCell ref="A19:B19"/>
    <mergeCell ref="D19:E19"/>
    <mergeCell ref="A20:B20"/>
    <mergeCell ref="A27:B27"/>
    <mergeCell ref="D27:E27"/>
    <mergeCell ref="A12:B12"/>
    <mergeCell ref="D12:E12"/>
    <mergeCell ref="D13:D17"/>
    <mergeCell ref="E13:E17"/>
    <mergeCell ref="A4:B4"/>
    <mergeCell ref="D4:E4"/>
  </mergeCells>
  <pageMargins left="0.7" right="0.7" top="0.75" bottom="0.75" header="0.3" footer="0.3"/>
  <pageSetup paperSize="9"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731B4-607F-4F5E-9964-6E67AF2BC471}">
  <dimension ref="A1:K22"/>
  <sheetViews>
    <sheetView workbookViewId="0">
      <selection activeCell="C10" sqref="C10"/>
    </sheetView>
  </sheetViews>
  <sheetFormatPr baseColWidth="10" defaultColWidth="12.5703125" defaultRowHeight="15.75" x14ac:dyDescent="0.25"/>
  <cols>
    <col min="1" max="1" width="12.7109375" style="74" bestFit="1" customWidth="1"/>
    <col min="2" max="2" width="35.85546875" style="74" bestFit="1" customWidth="1"/>
    <col min="3" max="3" width="25" style="74" bestFit="1" customWidth="1"/>
    <col min="4" max="4" width="3" style="74" customWidth="1"/>
    <col min="5" max="5" width="12.7109375" style="74" bestFit="1" customWidth="1"/>
    <col min="6" max="6" width="3" style="74" customWidth="1"/>
    <col min="7" max="8" width="10.28515625" style="96" customWidth="1"/>
    <col min="9" max="9" width="3" style="74" customWidth="1"/>
    <col min="10" max="10" width="16" style="74" bestFit="1" customWidth="1"/>
    <col min="11" max="11" width="53.5703125" style="74" bestFit="1" customWidth="1"/>
    <col min="12" max="16384" width="12.5703125" style="74"/>
  </cols>
  <sheetData>
    <row r="1" spans="1:11" ht="18.75" customHeight="1" x14ac:dyDescent="0.25">
      <c r="A1" s="468" t="s">
        <v>547</v>
      </c>
      <c r="B1" s="469"/>
      <c r="C1" s="470"/>
      <c r="E1" s="471" t="s">
        <v>548</v>
      </c>
      <c r="G1" s="473" t="s">
        <v>549</v>
      </c>
      <c r="H1" s="474"/>
      <c r="J1" s="473" t="s">
        <v>550</v>
      </c>
      <c r="K1" s="474"/>
    </row>
    <row r="2" spans="1:11" ht="18.75" x14ac:dyDescent="0.25">
      <c r="A2" s="75" t="s">
        <v>551</v>
      </c>
      <c r="B2" s="76" t="s">
        <v>552</v>
      </c>
      <c r="C2" s="76" t="s">
        <v>553</v>
      </c>
      <c r="E2" s="472"/>
      <c r="G2" s="77" t="s">
        <v>554</v>
      </c>
      <c r="H2" s="77" t="s">
        <v>555</v>
      </c>
      <c r="J2" s="77" t="s">
        <v>556</v>
      </c>
      <c r="K2" s="77" t="s">
        <v>391</v>
      </c>
    </row>
    <row r="3" spans="1:11" x14ac:dyDescent="0.25">
      <c r="A3" s="78" t="s">
        <v>11</v>
      </c>
      <c r="B3" s="79" t="s">
        <v>11</v>
      </c>
      <c r="C3" s="79" t="s">
        <v>11</v>
      </c>
      <c r="E3" s="78" t="s">
        <v>546</v>
      </c>
      <c r="G3" s="80">
        <v>1</v>
      </c>
      <c r="H3" s="81">
        <v>1</v>
      </c>
      <c r="J3" s="82">
        <v>0</v>
      </c>
      <c r="K3" s="83" t="s">
        <v>381</v>
      </c>
    </row>
    <row r="4" spans="1:11" x14ac:dyDescent="0.25">
      <c r="A4" s="78" t="s">
        <v>4</v>
      </c>
      <c r="B4" s="79" t="s">
        <v>653</v>
      </c>
      <c r="C4" s="79" t="s">
        <v>557</v>
      </c>
      <c r="E4" s="84" t="s">
        <v>545</v>
      </c>
      <c r="G4" s="85">
        <v>2</v>
      </c>
      <c r="H4" s="86">
        <v>2</v>
      </c>
      <c r="J4" s="87">
        <v>1</v>
      </c>
      <c r="K4" s="88" t="s">
        <v>382</v>
      </c>
    </row>
    <row r="5" spans="1:11" x14ac:dyDescent="0.25">
      <c r="A5" s="84" t="s">
        <v>489</v>
      </c>
      <c r="B5" s="89" t="s">
        <v>655</v>
      </c>
      <c r="C5" s="89" t="s">
        <v>656</v>
      </c>
      <c r="E5" s="90" t="s">
        <v>544</v>
      </c>
      <c r="G5" s="85">
        <v>3</v>
      </c>
      <c r="H5" s="86">
        <v>3</v>
      </c>
      <c r="J5" s="87">
        <v>2</v>
      </c>
      <c r="K5" s="88" t="s">
        <v>383</v>
      </c>
    </row>
    <row r="6" spans="1:11" x14ac:dyDescent="0.25">
      <c r="A6" s="90" t="s">
        <v>5</v>
      </c>
      <c r="B6" s="91" t="s">
        <v>654</v>
      </c>
      <c r="C6" s="91" t="s">
        <v>11</v>
      </c>
      <c r="G6" s="85">
        <v>4</v>
      </c>
      <c r="H6" s="86">
        <v>4</v>
      </c>
      <c r="J6" s="87">
        <v>3</v>
      </c>
      <c r="K6" s="88" t="s">
        <v>384</v>
      </c>
    </row>
    <row r="7" spans="1:11" x14ac:dyDescent="0.25">
      <c r="G7" s="85">
        <v>5</v>
      </c>
      <c r="H7" s="86">
        <v>5</v>
      </c>
      <c r="J7" s="87">
        <v>4</v>
      </c>
      <c r="K7" s="88" t="s">
        <v>558</v>
      </c>
    </row>
    <row r="8" spans="1:11" x14ac:dyDescent="0.25">
      <c r="G8" s="85">
        <v>6</v>
      </c>
      <c r="H8" s="86">
        <v>6</v>
      </c>
      <c r="J8" s="92" t="s">
        <v>385</v>
      </c>
      <c r="K8" s="93" t="s">
        <v>559</v>
      </c>
    </row>
    <row r="9" spans="1:11" x14ac:dyDescent="0.25">
      <c r="G9" s="85">
        <v>7</v>
      </c>
      <c r="H9" s="86">
        <v>7</v>
      </c>
    </row>
    <row r="10" spans="1:11" x14ac:dyDescent="0.25">
      <c r="G10" s="85">
        <v>8</v>
      </c>
      <c r="H10" s="86">
        <v>8</v>
      </c>
    </row>
    <row r="11" spans="1:11" x14ac:dyDescent="0.25">
      <c r="G11" s="85">
        <v>9</v>
      </c>
      <c r="H11" s="86">
        <v>9</v>
      </c>
    </row>
    <row r="12" spans="1:11" x14ac:dyDescent="0.25">
      <c r="G12" s="94">
        <v>10</v>
      </c>
      <c r="H12" s="95">
        <v>10</v>
      </c>
    </row>
    <row r="13" spans="1:11" x14ac:dyDescent="0.25">
      <c r="G13" s="84">
        <v>11</v>
      </c>
    </row>
    <row r="14" spans="1:11" x14ac:dyDescent="0.25">
      <c r="G14" s="84">
        <v>12</v>
      </c>
    </row>
    <row r="15" spans="1:11" x14ac:dyDescent="0.25">
      <c r="G15" s="84">
        <v>13</v>
      </c>
    </row>
    <row r="16" spans="1:11" x14ac:dyDescent="0.25">
      <c r="G16" s="84">
        <v>14</v>
      </c>
    </row>
    <row r="17" spans="7:7" x14ac:dyDescent="0.25">
      <c r="G17" s="84">
        <v>15</v>
      </c>
    </row>
    <row r="18" spans="7:7" x14ac:dyDescent="0.25">
      <c r="G18" s="84">
        <v>16</v>
      </c>
    </row>
    <row r="19" spans="7:7" x14ac:dyDescent="0.25">
      <c r="G19" s="84">
        <v>17</v>
      </c>
    </row>
    <row r="20" spans="7:7" x14ac:dyDescent="0.25">
      <c r="G20" s="84">
        <v>18</v>
      </c>
    </row>
    <row r="21" spans="7:7" x14ac:dyDescent="0.25">
      <c r="G21" s="84">
        <v>19</v>
      </c>
    </row>
    <row r="22" spans="7:7" x14ac:dyDescent="0.25">
      <c r="G22" s="90">
        <v>20</v>
      </c>
    </row>
  </sheetData>
  <mergeCells count="4">
    <mergeCell ref="A1:C1"/>
    <mergeCell ref="E1:E2"/>
    <mergeCell ref="G1:H1"/>
    <mergeCell ref="J1:K1"/>
  </mergeCells>
  <pageMargins left="0.7" right="0.7" top="0.78740157499999996" bottom="0.78740157499999996"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06EB1-1FDD-4D59-8A1F-26733D9D46A0}">
  <dimension ref="A1:IV12"/>
  <sheetViews>
    <sheetView workbookViewId="0"/>
  </sheetViews>
  <sheetFormatPr baseColWidth="10" defaultColWidth="11.42578125" defaultRowHeight="15" x14ac:dyDescent="0.25"/>
  <sheetData>
    <row r="1" spans="1:256" x14ac:dyDescent="0.25">
      <c r="A1" t="s">
        <v>386</v>
      </c>
      <c r="F1" t="e">
        <f>'Dokument Owner &amp; History'!#REF!+"y@4!&amp;"</f>
        <v>#REF!</v>
      </c>
      <c r="G1" t="e">
        <f>'Dokument Owner &amp; History'!#REF!+"y@4!'"</f>
        <v>#REF!</v>
      </c>
      <c r="H1" t="e">
        <f>'Dokument Owner &amp; History'!#REF!+"y@4!("</f>
        <v>#REF!</v>
      </c>
      <c r="I1" t="e">
        <f>'Dokument Owner &amp; History'!#REF!+"y@4!)"</f>
        <v>#REF!</v>
      </c>
      <c r="J1" t="e">
        <f>'Dokument Owner &amp; History'!#REF!+"y@4!."</f>
        <v>#REF!</v>
      </c>
      <c r="K1" t="e">
        <f>'Dokument Owner &amp; History'!#REF!+"y@4!/"</f>
        <v>#REF!</v>
      </c>
      <c r="L1" t="e">
        <f>'Dokument Owner &amp; History'!#REF!+"y@4!0"</f>
        <v>#REF!</v>
      </c>
      <c r="M1" t="e">
        <f>'Dokument Owner &amp; History'!#REF!+"y@4!1"</f>
        <v>#REF!</v>
      </c>
      <c r="N1" t="e">
        <f>'Dokument Owner &amp; History'!#REF!+"y@4!2"</f>
        <v>#REF!</v>
      </c>
      <c r="O1" t="e">
        <f>'Dokument Owner &amp; History'!#REF!+"y@4!3"</f>
        <v>#REF!</v>
      </c>
      <c r="P1" t="e">
        <f>'Dokument Owner &amp; History'!#REF!+"y@4!4"</f>
        <v>#REF!</v>
      </c>
      <c r="Q1" t="e">
        <f>'Dokument Owner &amp; History'!#REF!+"y@4!5"</f>
        <v>#REF!</v>
      </c>
      <c r="R1" t="e">
        <f>'Dokument Owner &amp; History'!#REF!+"y@4!6"</f>
        <v>#REF!</v>
      </c>
      <c r="S1" s="1" t="e">
        <f>'Dokument Owner &amp; History'!#REF!+"y@4!7"</f>
        <v>#REF!</v>
      </c>
      <c r="T1" s="1" t="e">
        <f>'Dokument Owner &amp; History'!#REF!+"y@4!8"</f>
        <v>#REF!</v>
      </c>
      <c r="U1" t="e">
        <f>'Dokument Owner &amp; History'!#REF!+"y@4!9"</f>
        <v>#REF!</v>
      </c>
      <c r="V1" t="e">
        <f>'Dokument Owner &amp; History'!#REF!+"y@4!:"</f>
        <v>#REF!</v>
      </c>
      <c r="W1" t="e">
        <f>'Dokument Owner &amp; History'!#REF!+"y@4!;"</f>
        <v>#REF!</v>
      </c>
      <c r="X1" s="1" t="e">
        <f>'Dokument Owner &amp; History'!#REF!+"y@4!&lt;"</f>
        <v>#REF!</v>
      </c>
      <c r="Y1" s="1" t="e">
        <f>'Dokument Owner &amp; History'!#REF!+"y@4!="</f>
        <v>#REF!</v>
      </c>
      <c r="Z1" t="e">
        <f>'Dokument Owner &amp; History'!#REF!+"y@4!&gt;"</f>
        <v>#REF!</v>
      </c>
      <c r="AA1" t="e">
        <f>'Dokument Owner &amp; History'!#REF!+"y@4!?"</f>
        <v>#REF!</v>
      </c>
      <c r="AB1" t="e">
        <f>'Dokument Owner &amp; History'!#REF!+"y@4!@"</f>
        <v>#REF!</v>
      </c>
      <c r="AC1" s="1" t="e">
        <f>'Dokument Owner &amp; History'!#REF!+"y@4!A"</f>
        <v>#REF!</v>
      </c>
      <c r="AD1" s="1" t="e">
        <f>'Dokument Owner &amp; History'!#REF!+"y@4!B"</f>
        <v>#REF!</v>
      </c>
      <c r="AE1" t="e">
        <f>'Dokument Owner &amp; History'!#REF!+"y@4!C"</f>
        <v>#REF!</v>
      </c>
      <c r="AF1" t="e">
        <f>'Dokument Owner &amp; History'!#REF!+"y@4!D"</f>
        <v>#REF!</v>
      </c>
      <c r="AG1" t="e">
        <f>'Dokument Owner &amp; History'!#REF!+"y@4!E"</f>
        <v>#REF!</v>
      </c>
      <c r="AH1" s="1" t="e">
        <f>'Dokument Owner &amp; History'!#REF!+"y@4!F"</f>
        <v>#REF!</v>
      </c>
      <c r="AI1" s="1" t="e">
        <f>'Dokument Owner &amp; History'!#REF!+"y@4!G"</f>
        <v>#REF!</v>
      </c>
      <c r="AJ1" t="e">
        <f>'Dokument Owner &amp; History'!#REF!+"y@4!H"</f>
        <v>#REF!</v>
      </c>
      <c r="AK1" t="e">
        <f>'Dokument Owner &amp; History'!#REF!+"y@4!I"</f>
        <v>#REF!</v>
      </c>
      <c r="AL1" t="e">
        <f>'Dokument Owner &amp; History'!#REF!+"y@4!J"</f>
        <v>#REF!</v>
      </c>
      <c r="AM1" s="1" t="e">
        <f>'Dokument Owner &amp; History'!#REF!+"y@4!K"</f>
        <v>#REF!</v>
      </c>
      <c r="AN1" s="1" t="e">
        <f>'Dokument Owner &amp; History'!#REF!+"y@4!L"</f>
        <v>#REF!</v>
      </c>
      <c r="AO1" t="e">
        <f>'Dokument Owner &amp; History'!#REF!+"y@4!M"</f>
        <v>#REF!</v>
      </c>
      <c r="AP1" t="e">
        <f>'Dokument Owner &amp; History'!#REF!+"y@4!N"</f>
        <v>#REF!</v>
      </c>
      <c r="AQ1" t="e">
        <f>'Dokument Owner &amp; History'!#REF!+"y@4!O"</f>
        <v>#REF!</v>
      </c>
      <c r="AR1" s="1" t="e">
        <f>'Dokument Owner &amp; History'!#REF!+"y@4!P"</f>
        <v>#REF!</v>
      </c>
      <c r="AS1" s="1" t="e">
        <f>'Dokument Owner &amp; History'!#REF!+"y@4!Q"</f>
        <v>#REF!</v>
      </c>
      <c r="AT1" t="e">
        <f>'Dokument Owner &amp; History'!#REF!+"y@4!R"</f>
        <v>#REF!</v>
      </c>
      <c r="AU1" t="e">
        <f>'Dokument Owner &amp; History'!#REF!+"y@4!S"</f>
        <v>#REF!</v>
      </c>
      <c r="AV1" t="e">
        <f>'Dokument Owner &amp; History'!#REF!+"y@4!T"</f>
        <v>#REF!</v>
      </c>
      <c r="AW1" s="1" t="e">
        <f>'Dokument Owner &amp; History'!#REF!+"y@4!U"</f>
        <v>#REF!</v>
      </c>
      <c r="AX1" s="1" t="e">
        <f>'Dokument Owner &amp; History'!#REF!+"y@4!V"</f>
        <v>#REF!</v>
      </c>
      <c r="AY1" t="e">
        <f>'Dokument Owner &amp; History'!#REF!+"y@4!W"</f>
        <v>#REF!</v>
      </c>
      <c r="AZ1" t="e">
        <f>'Dokument Owner &amp; History'!#REF!+"y@4!X"</f>
        <v>#REF!</v>
      </c>
      <c r="BA1" t="e">
        <f>'Dokument Owner &amp; History'!A17+"y@4!Y"</f>
        <v>#VALUE!</v>
      </c>
      <c r="BB1" s="1" t="e">
        <f>'Dokument Owner &amp; History'!B17+"y@4!Z"</f>
        <v>#VALUE!</v>
      </c>
      <c r="BC1" s="1" t="e">
        <f>'Dokument Owner &amp; History'!C17+"y@4!["</f>
        <v>#VALUE!</v>
      </c>
      <c r="BD1" t="e">
        <f>'Dokument Owner &amp; History'!E17+"y@4!\"</f>
        <v>#VALUE!</v>
      </c>
      <c r="BE1" t="e">
        <f>'Dokument Owner &amp; History'!G17+"y@4!]"</f>
        <v>#VALUE!</v>
      </c>
      <c r="BF1" t="e">
        <f>'Dokument Owner &amp; History'!A:A*"y@4!^"</f>
        <v>#VALUE!</v>
      </c>
      <c r="BG1" t="e">
        <f>'Dokument Owner &amp; History'!B:B*"y@4!_"</f>
        <v>#VALUE!</v>
      </c>
      <c r="BH1" t="e">
        <f>'Dokument Owner &amp; History'!C:C*"y@4!`"</f>
        <v>#VALUE!</v>
      </c>
      <c r="BI1" t="e">
        <f>'Dokument Owner &amp; History'!E:E*"y@4!a"</f>
        <v>#VALUE!</v>
      </c>
      <c r="BJ1" t="e">
        <f>'Dokument Owner &amp; History'!G:G*"y@4!b"</f>
        <v>#VALUE!</v>
      </c>
      <c r="BK1" t="e">
        <f>'Dokument Owner &amp; History'!H:H*"y@4!c"</f>
        <v>#VALUE!</v>
      </c>
      <c r="BL1" t="e">
        <f>'Dokument Owner &amp; History'!I:I*"y@4!d"</f>
        <v>#VALUE!</v>
      </c>
      <c r="BM1" t="e">
        <f>'Dokument Owner &amp; History'!J:J*"y@4!e"</f>
        <v>#VALUE!</v>
      </c>
      <c r="BN1" t="e">
        <f>'Dokument Owner &amp; History'!K:K*"y@4!f"</f>
        <v>#VALUE!</v>
      </c>
      <c r="BO1" t="e">
        <f>'Dokument Owner &amp; History'!L:L*"y@4!g"</f>
        <v>#VALUE!</v>
      </c>
      <c r="BP1" t="e">
        <f>'Dokument Owner &amp; History'!M:M*"y@4!h"</f>
        <v>#VALUE!</v>
      </c>
      <c r="BQ1" t="e">
        <f>_xlfn.SINGLE('Dokument Owner &amp; History'!#REF!)*"y@4!i"</f>
        <v>#REF!</v>
      </c>
      <c r="BR1" t="e">
        <f>_xlfn.SINGLE('Dokument Owner &amp; History'!#REF!)*"y@4!j"</f>
        <v>#REF!</v>
      </c>
      <c r="BS1" t="e">
        <f>_xlfn.SINGLE('Dokument Owner &amp; History'!#REF!)*"y@4!k"</f>
        <v>#REF!</v>
      </c>
      <c r="BT1" t="e">
        <f>_xlfn.SINGLE('Dokument Owner &amp; History'!#REF!)*"y@4!l"</f>
        <v>#REF!</v>
      </c>
      <c r="BU1" t="e">
        <f>_xlfn.SINGLE('Dokument Owner &amp; History'!#REF!)*"y@4!m"</f>
        <v>#REF!</v>
      </c>
      <c r="BV1" t="e">
        <f>_xlfn.SINGLE('Dokument Owner &amp; History'!#REF!)*"y@4!n"</f>
        <v>#REF!</v>
      </c>
      <c r="BW1" t="e">
        <f>_xlfn.SINGLE('Dokument Owner &amp; History'!#REF!)*"y@4!o"</f>
        <v>#REF!</v>
      </c>
      <c r="BX1" t="e">
        <f>_xlfn.SINGLE('Dokument Owner &amp; History'!#REF!)*"y@4!p"</f>
        <v>#REF!</v>
      </c>
      <c r="BY1" t="e">
        <f>'Dokument Owner &amp; History'!N:N*"y@4!q"</f>
        <v>#VALUE!</v>
      </c>
      <c r="BZ1" t="e">
        <f>'Dokument Owner &amp; History'!O:O*"y@4!r"</f>
        <v>#VALUE!</v>
      </c>
      <c r="CA1" t="e">
        <f>'Dokument Owner &amp; History'!P:P*"y@4!s"</f>
        <v>#VALUE!</v>
      </c>
      <c r="CB1" t="e">
        <f>'Dokument Owner &amp; History'!Q:Q*"y@4!t"</f>
        <v>#VALUE!</v>
      </c>
      <c r="CC1" t="e">
        <f>'Dokument Owner &amp; History'!R:R*"y@4!u"</f>
        <v>#VALUE!</v>
      </c>
      <c r="CD1" t="e">
        <f>'Dokument Owner &amp; History'!S:S*"y@4!v"</f>
        <v>#VALUE!</v>
      </c>
      <c r="CE1" t="e">
        <f>'Dokument Owner &amp; History'!T:T*"y@4!w"</f>
        <v>#VALUE!</v>
      </c>
      <c r="CF1" t="e">
        <f>'Dokument Owner &amp; History'!U:U*"y@4!x"</f>
        <v>#VALUE!</v>
      </c>
      <c r="CG1" t="e">
        <f>'Dokument Owner &amp; History'!V:V*"y@4!y"</f>
        <v>#VALUE!</v>
      </c>
      <c r="CH1" t="e">
        <f>'Dokument Owner &amp; History'!W:W*"y@4!z"</f>
        <v>#VALUE!</v>
      </c>
      <c r="CI1" t="e">
        <f>'Dokument Owner &amp; History'!X:X*"y@4!{"</f>
        <v>#VALUE!</v>
      </c>
      <c r="CJ1" t="e">
        <f>'Dokument Owner &amp; History'!Y:Y*"y@4!|"</f>
        <v>#VALUE!</v>
      </c>
      <c r="CK1" t="e">
        <f>'Dokument Owner &amp; History'!Z:Z*"y@4!}"</f>
        <v>#VALUE!</v>
      </c>
      <c r="CL1" t="e">
        <f>'Dokument Owner &amp; History'!AA:AA*"y@4!~"</f>
        <v>#VALUE!</v>
      </c>
      <c r="CM1" t="e">
        <f>'Dokument Owner &amp; History'!AB:AB*"y@4!$#"</f>
        <v>#VALUE!</v>
      </c>
      <c r="CN1" t="e">
        <f>'Dokument Owner &amp; History'!AC:AC*"y@4!$$"</f>
        <v>#VALUE!</v>
      </c>
      <c r="CO1" t="e">
        <f>'Dokument Owner &amp; History'!AD:AD*"y@4!$%"</f>
        <v>#VALUE!</v>
      </c>
      <c r="CP1" t="e">
        <f>'Dokument Owner &amp; History'!AE:AE*"y@4!$&amp;"</f>
        <v>#VALUE!</v>
      </c>
      <c r="CQ1" t="e">
        <f>'Dokument Owner &amp; History'!AF:AF*"y@4!$'"</f>
        <v>#VALUE!</v>
      </c>
      <c r="CR1" t="e">
        <f>'Dokument Owner &amp; History'!AG:AG*"y@4!$("</f>
        <v>#VALUE!</v>
      </c>
      <c r="CS1" t="e">
        <f>'Dokument Owner &amp; History'!AH:AH*"y@4!$)"</f>
        <v>#VALUE!</v>
      </c>
      <c r="CT1" t="e">
        <f>'Dokument Owner &amp; History'!AI:AI*"y@4!$."</f>
        <v>#VALUE!</v>
      </c>
      <c r="CU1" t="e">
        <f>'Dokument Owner &amp; History'!AJ:AJ*"y@4!$/"</f>
        <v>#VALUE!</v>
      </c>
      <c r="CV1" t="e">
        <f>'Dokument Owner &amp; History'!AK:AK*"y@4!$0"</f>
        <v>#VALUE!</v>
      </c>
      <c r="CW1" t="e">
        <f>'Dokument Owner &amp; History'!AL:AL*"y@4!$1"</f>
        <v>#VALUE!</v>
      </c>
      <c r="CX1" t="e">
        <f>'Dokument Owner &amp; History'!AM:AM*"y@4!$2"</f>
        <v>#VALUE!</v>
      </c>
      <c r="CY1" t="e">
        <f>'Dokument Owner &amp; History'!AN:AN*"y@4!$3"</f>
        <v>#VALUE!</v>
      </c>
      <c r="CZ1" t="e">
        <f>'Dokument Owner &amp; History'!AO:AO*"y@4!$4"</f>
        <v>#VALUE!</v>
      </c>
      <c r="DA1" t="e">
        <f>'Dokument Owner &amp; History'!AP:AP*"y@4!$5"</f>
        <v>#VALUE!</v>
      </c>
      <c r="DB1" t="e">
        <f>'Dokument Owner &amp; History'!AQ:AQ*"y@4!$6"</f>
        <v>#VALUE!</v>
      </c>
      <c r="DC1" t="e">
        <f>'Dokument Owner &amp; History'!AR:AR*"y@4!$7"</f>
        <v>#VALUE!</v>
      </c>
      <c r="DD1" t="e">
        <f>'Dokument Owner &amp; History'!AS:AS*"y@4!$8"</f>
        <v>#VALUE!</v>
      </c>
      <c r="DE1" t="e">
        <f>'Dokument Owner &amp; History'!AT:AT*"y@4!$9"</f>
        <v>#VALUE!</v>
      </c>
      <c r="DF1" t="e">
        <f>'Dokument Owner &amp; History'!AU:AU*"y@4!$:"</f>
        <v>#VALUE!</v>
      </c>
      <c r="DG1" t="e">
        <f>'Dokument Owner &amp; History'!AV:AV*"y@4!$;"</f>
        <v>#VALUE!</v>
      </c>
      <c r="DH1" t="e">
        <f>'Dokument Owner &amp; History'!AW:AW*"y@4!$&lt;"</f>
        <v>#VALUE!</v>
      </c>
      <c r="DI1" t="e">
        <f>'Dokument Owner &amp; History'!1:1-"y@4!$="</f>
        <v>#VALUE!</v>
      </c>
      <c r="DJ1" t="e">
        <f>'Dokument Owner &amp; History'!3:3-"y@4!$&gt;"</f>
        <v>#VALUE!</v>
      </c>
      <c r="DK1" t="e">
        <f>'Dokument Owner &amp; History'!4:4-"y@4!$?"</f>
        <v>#VALUE!</v>
      </c>
      <c r="DL1" t="e">
        <f>_xlfn.SINGLE('Dokument Owner &amp; History'!#REF!)-"y@4!$@"</f>
        <v>#REF!</v>
      </c>
      <c r="DM1" t="e">
        <f>'Dokument Owner &amp; History'!5:5-"y@4!$A"</f>
        <v>#VALUE!</v>
      </c>
      <c r="DN1" t="e">
        <f>'Dokument Owner &amp; History'!6:6-"y@4!$B"</f>
        <v>#VALUE!</v>
      </c>
      <c r="DO1" t="e">
        <f>'Dokument Owner &amp; History'!11:11-"y@4!$C"</f>
        <v>#VALUE!</v>
      </c>
      <c r="DP1" t="e">
        <f>'Dokument Owner &amp; History'!12:12-"y@4!$D"</f>
        <v>#VALUE!</v>
      </c>
      <c r="DQ1" t="e">
        <f>'Dokument Owner &amp; History'!13:13-"y@4!$E"</f>
        <v>#VALUE!</v>
      </c>
      <c r="DR1" t="e">
        <f>'Dokument Owner &amp; History'!16:16-"y@4!$F"</f>
        <v>#VALUE!</v>
      </c>
      <c r="DS1" t="e">
        <f>_xlfn.SINGLE('Dokument Owner &amp; History'!#REF!)-"y@4!$G"</f>
        <v>#REF!</v>
      </c>
      <c r="DT1" t="e">
        <f>'Dokument Owner &amp; History'!17:17-"y@4!$H"</f>
        <v>#VALUE!</v>
      </c>
      <c r="DU1" t="e">
        <f>'Dokument Owner &amp; History'!18:18-"y@4!$I"</f>
        <v>#VALUE!</v>
      </c>
      <c r="DV1" t="e">
        <f>_xlfn.SINGLE('Dokument Owner &amp; History'!#REF!)-"y@4!$J"</f>
        <v>#REF!</v>
      </c>
      <c r="DW1" t="e">
        <f>'Dokument Owner &amp; History'!21:21-"y@4!$K"</f>
        <v>#VALUE!</v>
      </c>
      <c r="DX1" t="e">
        <f>'Dokument Owner &amp; History'!22:22-"y@4!$L"</f>
        <v>#VALUE!</v>
      </c>
      <c r="DY1" t="e">
        <f>'Dokument Owner &amp; History'!23:23-"y@4!$M"</f>
        <v>#VALUE!</v>
      </c>
      <c r="DZ1" t="e">
        <f>'Dokument Owner &amp; History'!24:24-"y@4!$N"</f>
        <v>#VALUE!</v>
      </c>
      <c r="EA1" t="e">
        <f>'Dokument Owner &amp; History'!25:25-"y@4!$O"</f>
        <v>#VALUE!</v>
      </c>
      <c r="EB1" t="e">
        <f>'Dokument Owner &amp; History'!26:26-"y@4!$P"</f>
        <v>#VALUE!</v>
      </c>
      <c r="EC1" t="e">
        <f>'Dokument Owner &amp; History'!27:27-"y@4!$Q"</f>
        <v>#VALUE!</v>
      </c>
      <c r="ED1" t="e">
        <f>'Dokument Owner &amp; History'!28:28-"y@4!$R"</f>
        <v>#VALUE!</v>
      </c>
      <c r="EE1" t="e">
        <f>'Dokument Owner &amp; History'!29:29-"y@4!$S"</f>
        <v>#VALUE!</v>
      </c>
      <c r="EF1" t="e">
        <f>'Dokument Owner &amp; History'!30:30-"y@4!$T"</f>
        <v>#VALUE!</v>
      </c>
      <c r="EG1" t="e">
        <f>'Dokument Owner &amp; History'!31:31-"y@4!$U"</f>
        <v>#VALUE!</v>
      </c>
      <c r="EH1" t="e">
        <f>'Dokument Owner &amp; History'!32:32-"y@4!$V"</f>
        <v>#VALUE!</v>
      </c>
      <c r="EI1" t="e">
        <f>'Dokument Owner &amp; History'!33:33-"y@4!$W"</f>
        <v>#VALUE!</v>
      </c>
      <c r="EJ1" t="e">
        <f>'Dokument Owner &amp; History'!34:34-"y@4!$X"</f>
        <v>#VALUE!</v>
      </c>
      <c r="EK1" t="e">
        <f>'Dokument Owner &amp; History'!35:35-"y@4!$Y"</f>
        <v>#VALUE!</v>
      </c>
      <c r="EL1" t="e">
        <f>'Dokument Owner &amp; History'!36:36-"y@4!$Z"</f>
        <v>#VALUE!</v>
      </c>
      <c r="EM1" t="e">
        <f>'Dokument Owner &amp; History'!37:37-"y@4!$["</f>
        <v>#VALUE!</v>
      </c>
      <c r="EN1" t="e">
        <f>'Dokument Owner &amp; History'!38:38-"y@4!$\"</f>
        <v>#VALUE!</v>
      </c>
      <c r="EO1" t="e">
        <f>'Dokument Owner &amp; History'!39:39-"y@4!$]"</f>
        <v>#VALUE!</v>
      </c>
      <c r="EP1" t="e">
        <f>'Dokument Owner &amp; History'!40:40-"y@4!$^"</f>
        <v>#VALUE!</v>
      </c>
      <c r="EQ1" t="e">
        <f>'Dokument Owner &amp; History'!41:41-"y@4!$_"</f>
        <v>#VALUE!</v>
      </c>
      <c r="ER1" t="e">
        <f>'Dokument Owner &amp; History'!42:42-"y@4!$`"</f>
        <v>#VALUE!</v>
      </c>
      <c r="ES1" t="e">
        <f>'Dokument Owner &amp; History'!43:43-"y@4!$a"</f>
        <v>#VALUE!</v>
      </c>
      <c r="ET1" t="e">
        <f>'Dokument Owner &amp; History'!44:44-"y@4!$b"</f>
        <v>#VALUE!</v>
      </c>
      <c r="EU1" t="e">
        <f>'Dokument Owner &amp; History'!45:45-"y@4!$c"</f>
        <v>#VALUE!</v>
      </c>
      <c r="EV1" t="e">
        <f>'Dokument Owner &amp; History'!46:46-"y@4!$d"</f>
        <v>#VALUE!</v>
      </c>
      <c r="EW1" t="e">
        <f>'Dokument Owner &amp; History'!47:47-"y@4!$e"</f>
        <v>#VALUE!</v>
      </c>
      <c r="EX1" t="e">
        <f>'Dokument Owner &amp; History'!48:48-"y@4!$f"</f>
        <v>#VALUE!</v>
      </c>
      <c r="EY1" t="e">
        <f>'Dokument Owner &amp; History'!49:49-"y@4!$g"</f>
        <v>#VALUE!</v>
      </c>
      <c r="EZ1" t="e">
        <f>'Dokument Owner &amp; History'!50:50-"y@4!$h"</f>
        <v>#VALUE!</v>
      </c>
      <c r="FA1" t="e">
        <f>'Dokument Owner &amp; History'!51:51-"y@4!$i"</f>
        <v>#VALUE!</v>
      </c>
      <c r="FB1" t="e">
        <f>'Dokument Owner &amp; History'!52:52-"y@4!$j"</f>
        <v>#VALUE!</v>
      </c>
      <c r="FC1" t="e">
        <f>'Dokument Owner &amp; History'!53:53-"y@4!$k"</f>
        <v>#VALUE!</v>
      </c>
      <c r="FD1" t="e">
        <f>'Dokument Owner &amp; History'!54:54-"y@4!$l"</f>
        <v>#VALUE!</v>
      </c>
      <c r="FE1" t="e">
        <f>'Dokument Owner &amp; History'!55:55-"y@4!$m"</f>
        <v>#VALUE!</v>
      </c>
      <c r="FF1" t="e">
        <f>'Dokument Owner &amp; History'!56:56-"y@4!$n"</f>
        <v>#VALUE!</v>
      </c>
      <c r="FG1" t="e">
        <f>'Dokument Owner &amp; History'!57:57-"y@4!$o"</f>
        <v>#VALUE!</v>
      </c>
      <c r="FH1" t="e">
        <f>'Dokument Owner &amp; History'!58:58-"y@4!$p"</f>
        <v>#VALUE!</v>
      </c>
      <c r="FI1" t="e">
        <f>'Dokument Owner &amp; History'!59:59-"y@4!$q"</f>
        <v>#VALUE!</v>
      </c>
      <c r="FJ1" t="e">
        <f>'Dokument Owner &amp; History'!60:60-"y@4!$r"</f>
        <v>#VALUE!</v>
      </c>
      <c r="FK1" t="e">
        <f>'Dokument Owner &amp; History'!61:61-"y@4!$s"</f>
        <v>#VALUE!</v>
      </c>
      <c r="FL1" t="e">
        <f>'Dokument Owner &amp; History'!62:62-"y@4!$t"</f>
        <v>#VALUE!</v>
      </c>
      <c r="FM1" t="e">
        <f>'Dokument Owner &amp; History'!63:63-"y@4!$u"</f>
        <v>#VALUE!</v>
      </c>
      <c r="FN1" t="e">
        <f>'Dokument Owner &amp; History'!64:64-"y@4!$v"</f>
        <v>#VALUE!</v>
      </c>
      <c r="FO1" t="e">
        <f>'Dokument Owner &amp; History'!65:65-"y@4!$w"</f>
        <v>#VALUE!</v>
      </c>
      <c r="FP1" t="e">
        <f>'Dokument Owner &amp; History'!66:66-"y@4!$x"</f>
        <v>#VALUE!</v>
      </c>
      <c r="FQ1" t="e">
        <f>'Dokument Owner &amp; History'!67:67-"y@4!$y"</f>
        <v>#VALUE!</v>
      </c>
      <c r="FR1" t="e">
        <f>'Dokument Owner &amp; History'!68:68-"y@4!$z"</f>
        <v>#VALUE!</v>
      </c>
      <c r="FS1" t="e">
        <f>'Dokument Owner &amp; History'!69:69-"y@4!${"</f>
        <v>#VALUE!</v>
      </c>
      <c r="FT1" t="e">
        <f>'Dokument Owner &amp; History'!70:70-"y@4!$|"</f>
        <v>#VALUE!</v>
      </c>
      <c r="FU1" t="e">
        <f>'Dokument Owner &amp; History'!71:71-"y@4!$}"</f>
        <v>#VALUE!</v>
      </c>
      <c r="FV1" t="e">
        <f>'Dokument Owner &amp; History'!72:72-"y@4!$~"</f>
        <v>#VALUE!</v>
      </c>
      <c r="FW1" t="e">
        <f>'Dokument Owner &amp; History'!73:73-"y@4!%#"</f>
        <v>#VALUE!</v>
      </c>
      <c r="FX1" t="e">
        <f>'Dokument Owner &amp; History'!74:74-"y@4!%$"</f>
        <v>#VALUE!</v>
      </c>
      <c r="FY1" t="e">
        <f>'Dokument Owner &amp; History'!75:75-"y@4!%%"</f>
        <v>#VALUE!</v>
      </c>
      <c r="FZ1" t="e">
        <f>'Dokument Owner &amp; History'!76:76-"y@4!%&amp;"</f>
        <v>#VALUE!</v>
      </c>
      <c r="GA1" t="e">
        <f>'Dokument Owner &amp; History'!77:77-"y@4!%'"</f>
        <v>#VALUE!</v>
      </c>
      <c r="GB1" t="e">
        <f>'Dokument Owner &amp; History'!78:78-"y@4!%("</f>
        <v>#VALUE!</v>
      </c>
      <c r="GC1" t="e">
        <f>'Dokument Owner &amp; History'!79:79-"y@4!%)"</f>
        <v>#VALUE!</v>
      </c>
      <c r="GD1" t="e">
        <f>'Dokument Owner &amp; History'!80:80-"y@4!%."</f>
        <v>#VALUE!</v>
      </c>
      <c r="GE1" t="e">
        <f>'Dokument Owner &amp; History'!81:81-"y@4!%/"</f>
        <v>#VALUE!</v>
      </c>
      <c r="GF1" t="e">
        <f>'Dokument Owner &amp; History'!82:82-"y@4!%0"</f>
        <v>#VALUE!</v>
      </c>
      <c r="GG1" t="e">
        <f>'Dokument Owner &amp; History'!83:83-"y@4!%1"</f>
        <v>#VALUE!</v>
      </c>
      <c r="GH1" t="e">
        <f>'Dokument Owner &amp; History'!84:84-"y@4!%2"</f>
        <v>#VALUE!</v>
      </c>
      <c r="GI1" t="e">
        <f>'Dokument Owner &amp; History'!85:85-"y@4!%3"</f>
        <v>#VALUE!</v>
      </c>
      <c r="GJ1" t="e">
        <f>'Dokument Owner &amp; History'!86:86-"y@4!%4"</f>
        <v>#VALUE!</v>
      </c>
      <c r="GK1" t="e">
        <f>'Dokument Owner &amp; History'!87:87-"y@4!%5"</f>
        <v>#VALUE!</v>
      </c>
      <c r="GL1" t="e">
        <f>'Dokument Owner &amp; History'!88:88-"y@4!%6"</f>
        <v>#VALUE!</v>
      </c>
      <c r="GM1" t="e">
        <f>'Dokument Owner &amp; History'!89:89-"y@4!%7"</f>
        <v>#VALUE!</v>
      </c>
      <c r="GN1" t="e">
        <f>'Dokument Owner &amp; History'!90:90-"y@4!%8"</f>
        <v>#VALUE!</v>
      </c>
      <c r="GO1" t="e">
        <f>'Dokument Owner &amp; History'!91:91-"y@4!%9"</f>
        <v>#VALUE!</v>
      </c>
      <c r="GP1" t="e">
        <f>'Dokument Owner &amp; History'!92:92-"y@4!%:"</f>
        <v>#VALUE!</v>
      </c>
      <c r="GQ1" t="e">
        <f>'Dokument Owner &amp; History'!93:93-"y@4!%;"</f>
        <v>#VALUE!</v>
      </c>
      <c r="GR1" t="e">
        <f>'Dokument Owner &amp; History'!94:94-"y@4!%&lt;"</f>
        <v>#VALUE!</v>
      </c>
      <c r="GS1" t="e">
        <f>'Dokument Owner &amp; History'!95:95-"y@4!%="</f>
        <v>#VALUE!</v>
      </c>
      <c r="GT1" t="e">
        <f>'Dokument Owner &amp; History'!96:96-"y@4!%&gt;"</f>
        <v>#VALUE!</v>
      </c>
      <c r="GU1" t="e">
        <f>'Dokument Owner &amp; History'!97:97-"y@4!%?"</f>
        <v>#VALUE!</v>
      </c>
      <c r="GV1" t="e">
        <f>'Dokument Owner &amp; History'!98:98-"y@4!%@"</f>
        <v>#VALUE!</v>
      </c>
      <c r="GW1" t="e">
        <f>'Dokument Owner &amp; History'!99:99-"y@4!%A"</f>
        <v>#VALUE!</v>
      </c>
      <c r="GX1" t="e">
        <f>'Dokument Owner &amp; History'!100:100-"y@4!%B"</f>
        <v>#VALUE!</v>
      </c>
      <c r="GY1" t="e">
        <f>'Dokument Owner &amp; History'!101:101-"y@4!%C"</f>
        <v>#VALUE!</v>
      </c>
      <c r="GZ1" t="e">
        <f>'Dokument Owner &amp; History'!102:102-"y@4!%D"</f>
        <v>#VALUE!</v>
      </c>
      <c r="HA1" t="e">
        <f>'Dokument Owner &amp; History'!103:103-"y@4!%E"</f>
        <v>#VALUE!</v>
      </c>
      <c r="HB1" t="e">
        <f>'Dokument Owner &amp; History'!104:104-"y@4!%F"</f>
        <v>#VALUE!</v>
      </c>
      <c r="HC1" t="e">
        <f>'Dokument Owner &amp; History'!105:105-"y@4!%G"</f>
        <v>#VALUE!</v>
      </c>
      <c r="HD1" t="e">
        <f>'Dokument Owner &amp; History'!106:106-"y@4!%H"</f>
        <v>#VALUE!</v>
      </c>
      <c r="HE1" t="e">
        <f>'Dokument Owner &amp; History'!107:107-"y@4!%I"</f>
        <v>#VALUE!</v>
      </c>
      <c r="HF1" t="e">
        <f>'Dokument Owner &amp; History'!108:108-"y@4!%J"</f>
        <v>#VALUE!</v>
      </c>
      <c r="HG1" t="e">
        <f>'Dokument Owner &amp; History'!109:109-"y@4!%K"</f>
        <v>#VALUE!</v>
      </c>
      <c r="HH1" t="e">
        <f>'Dokument Owner &amp; History'!110:110-"y@4!%L"</f>
        <v>#VALUE!</v>
      </c>
      <c r="HI1" t="e">
        <f>'Dokument Owner &amp; History'!111:111-"y@4!%M"</f>
        <v>#VALUE!</v>
      </c>
      <c r="HJ1" t="e">
        <f>'Dokument Owner &amp; History'!112:112-"y@4!%N"</f>
        <v>#VALUE!</v>
      </c>
      <c r="HK1" t="e">
        <f>'Dokument Owner &amp; History'!113:113-"y@4!%O"</f>
        <v>#VALUE!</v>
      </c>
      <c r="HL1" t="e">
        <f>'Dokument Owner &amp; History'!114:114-"y@4!%P"</f>
        <v>#VALUE!</v>
      </c>
      <c r="HM1" t="e">
        <f>'Dokument Owner &amp; History'!115:115-"y@4!%Q"</f>
        <v>#VALUE!</v>
      </c>
      <c r="HN1" t="e">
        <f>'Dokument Owner &amp; History'!116:116-"y@4!%R"</f>
        <v>#VALUE!</v>
      </c>
      <c r="HO1" t="e">
        <f>'Dokument Owner &amp; History'!117:117-"y@4!%S"</f>
        <v>#VALUE!</v>
      </c>
      <c r="HP1" t="e">
        <f>'Dokument Owner &amp; History'!118:118-"y@4!%T"</f>
        <v>#VALUE!</v>
      </c>
      <c r="HQ1" t="e">
        <f>'Dokument Owner &amp; History'!119:119-"y@4!%U"</f>
        <v>#VALUE!</v>
      </c>
      <c r="HR1" t="e">
        <f>'Dokument Owner &amp; History'!120:120-"y@4!%V"</f>
        <v>#VALUE!</v>
      </c>
      <c r="HS1" t="e">
        <f>'Dokument Owner &amp; History'!121:121-"y@4!%W"</f>
        <v>#VALUE!</v>
      </c>
      <c r="HT1" t="e">
        <f>'Dokument Owner &amp; History'!122:122-"y@4!%X"</f>
        <v>#VALUE!</v>
      </c>
      <c r="HU1" t="e">
        <f>'Dokument Owner &amp; History'!123:123-"y@4!%Y"</f>
        <v>#VALUE!</v>
      </c>
      <c r="HV1" t="e">
        <f>'Dokument Owner &amp; History'!124:124-"y@4!%Z"</f>
        <v>#VALUE!</v>
      </c>
      <c r="HW1" t="e">
        <f>'Dokument Owner &amp; History'!125:125-"y@4!%["</f>
        <v>#VALUE!</v>
      </c>
      <c r="HX1" t="e">
        <f>'Dokument Owner &amp; History'!126:126-"y@4!%\"</f>
        <v>#VALUE!</v>
      </c>
      <c r="HY1" t="e">
        <f>'Dokument Owner &amp; History'!127:127-"y@4!%]"</f>
        <v>#VALUE!</v>
      </c>
      <c r="HZ1" t="e">
        <f>'Dokument Owner &amp; History'!128:128-"y@4!%^"</f>
        <v>#VALUE!</v>
      </c>
      <c r="IA1" t="e">
        <f>'Dokument Owner &amp; History'!129:129-"y@4!%_"</f>
        <v>#VALUE!</v>
      </c>
      <c r="IB1" t="e">
        <f>'Dokument Owner &amp; History'!130:130-"y@4!%`"</f>
        <v>#VALUE!</v>
      </c>
      <c r="IC1" t="e">
        <f>'Dokument Owner &amp; History'!131:131-"y@4!%a"</f>
        <v>#VALUE!</v>
      </c>
      <c r="ID1" t="e">
        <f>'Dokument Owner &amp; History'!132:132-"y@4!%b"</f>
        <v>#VALUE!</v>
      </c>
      <c r="IE1" t="e">
        <f>'Dokument Owner &amp; History'!133:133-"y@4!%c"</f>
        <v>#VALUE!</v>
      </c>
      <c r="IF1" t="e">
        <f>'Dokument Owner &amp; History'!134:134-"y@4!%d"</f>
        <v>#VALUE!</v>
      </c>
      <c r="IG1" t="e">
        <f>'Dokument Owner &amp; History'!135:135-"y@4!%e"</f>
        <v>#VALUE!</v>
      </c>
      <c r="IH1" t="e">
        <f>'Dokument Owner &amp; History'!136:136-"y@4!%f"</f>
        <v>#VALUE!</v>
      </c>
      <c r="II1" t="e">
        <f>'Dokument Owner &amp; History'!137:137-"y@4!%g"</f>
        <v>#VALUE!</v>
      </c>
      <c r="IJ1" t="e">
        <f>'Dokument Owner &amp; History'!138:138-"y@4!%h"</f>
        <v>#VALUE!</v>
      </c>
      <c r="IK1" t="e">
        <f>'Dokument Owner &amp; History'!139:139-"y@4!%i"</f>
        <v>#VALUE!</v>
      </c>
      <c r="IL1" t="e">
        <f>'Dokument Owner &amp; History'!140:140-"y@4!%j"</f>
        <v>#VALUE!</v>
      </c>
      <c r="IM1" t="e">
        <f>'Dokument Owner &amp; History'!141:141-"y@4!%k"</f>
        <v>#VALUE!</v>
      </c>
      <c r="IN1" t="e">
        <f>'Dokument Owner &amp; History'!142:142-"y@4!%l"</f>
        <v>#VALUE!</v>
      </c>
      <c r="IO1" t="e">
        <f>'Dokument Owner &amp; History'!143:143-"y@4!%m"</f>
        <v>#VALUE!</v>
      </c>
      <c r="IP1" t="e">
        <f>'Dokument Owner &amp; History'!144:144-"y@4!%n"</f>
        <v>#VALUE!</v>
      </c>
      <c r="IQ1" t="e">
        <f>'Dokument Owner &amp; History'!145:145-"y@4!%o"</f>
        <v>#VALUE!</v>
      </c>
      <c r="IR1" t="e">
        <f>'Dokument Owner &amp; History'!146:146-"y@4!%p"</f>
        <v>#VALUE!</v>
      </c>
      <c r="IS1" t="e">
        <f>'Dokument Owner &amp; History'!147:147-"y@4!%q"</f>
        <v>#VALUE!</v>
      </c>
      <c r="IT1" t="e">
        <f>'Dokument Owner &amp; History'!148:148-"y@4!%r"</f>
        <v>#VALUE!</v>
      </c>
      <c r="IU1" t="e">
        <f>'Dokument Owner &amp; History'!149:149-"y@4!%s"</f>
        <v>#VALUE!</v>
      </c>
      <c r="IV1" t="e">
        <f>'Dokument Owner &amp; History'!150:150-"y@4!%t"</f>
        <v>#VALUE!</v>
      </c>
    </row>
    <row r="2" spans="1:256" x14ac:dyDescent="0.25">
      <c r="A2" t="s">
        <v>387</v>
      </c>
      <c r="F2" t="e">
        <f>'Dokument Owner &amp; History'!151:151-"y@4!%u"</f>
        <v>#VALUE!</v>
      </c>
      <c r="G2" t="e">
        <f>'Dokument Owner &amp; History'!152:152-"y@4!%v"</f>
        <v>#VALUE!</v>
      </c>
      <c r="H2" t="e">
        <f>'Dokument Owner &amp; History'!153:153-"y@4!%w"</f>
        <v>#VALUE!</v>
      </c>
      <c r="I2" t="e">
        <f>'Dokument Owner &amp; History'!154:154-"y@4!%x"</f>
        <v>#VALUE!</v>
      </c>
      <c r="J2" t="e">
        <f>'Dokument Owner &amp; History'!155:155-"y@4!%y"</f>
        <v>#VALUE!</v>
      </c>
      <c r="K2" t="e">
        <f>'Dokument Owner &amp; History'!156:156-"y@4!%z"</f>
        <v>#VALUE!</v>
      </c>
      <c r="L2" t="e">
        <f>'Dokument Owner &amp; History'!157:157-"y@4!%{"</f>
        <v>#VALUE!</v>
      </c>
      <c r="M2" t="e">
        <f>'Dokument Owner &amp; History'!158:158-"y@4!%|"</f>
        <v>#VALUE!</v>
      </c>
      <c r="N2" t="e">
        <f>'Dokument Owner &amp; History'!159:159-"y@4!%}"</f>
        <v>#VALUE!</v>
      </c>
      <c r="O2" t="e">
        <f>'Dokument Owner &amp; History'!160:160-"y@4!%~"</f>
        <v>#VALUE!</v>
      </c>
      <c r="P2" t="e">
        <f>'Dokument Owner &amp; History'!161:161-"y@4!&amp;#"</f>
        <v>#VALUE!</v>
      </c>
      <c r="Q2" t="e">
        <f>'Dokument Owner &amp; History'!162:162-"y@4!&amp;$"</f>
        <v>#VALUE!</v>
      </c>
      <c r="R2" t="e">
        <f>'Dokument Owner &amp; History'!163:163-"y@4!&amp;%"</f>
        <v>#VALUE!</v>
      </c>
      <c r="S2" t="e">
        <f>'Dokument Owner &amp; History'!164:164-"y@4!&amp;&amp;"</f>
        <v>#VALUE!</v>
      </c>
      <c r="T2" t="e">
        <f>'Dokument Owner &amp; History'!165:165-"y@4!&amp;'"</f>
        <v>#VALUE!</v>
      </c>
      <c r="U2" t="e">
        <f>'Dokument Owner &amp; History'!166:166-"y@4!&amp;("</f>
        <v>#VALUE!</v>
      </c>
      <c r="V2" t="e">
        <f>'Dokument Owner &amp; History'!167:167-"y@4!&amp;)"</f>
        <v>#VALUE!</v>
      </c>
      <c r="W2" t="e">
        <f>'Dokument Owner &amp; History'!168:168-"y@4!&amp;."</f>
        <v>#VALUE!</v>
      </c>
      <c r="X2" t="e">
        <f>'Dokument Owner &amp; History'!169:169-"y@4!&amp;/"</f>
        <v>#VALUE!</v>
      </c>
      <c r="Y2" t="e">
        <f>'Dokument Owner &amp; History'!170:170-"y@4!&amp;0"</f>
        <v>#VALUE!</v>
      </c>
      <c r="Z2" t="e">
        <f>'Dokument Owner &amp; History'!171:171-"y@4!&amp;1"</f>
        <v>#VALUE!</v>
      </c>
      <c r="AA2" t="e">
        <f>'Dokument Owner &amp; History'!172:172-"y@4!&amp;2"</f>
        <v>#VALUE!</v>
      </c>
      <c r="AB2" t="e">
        <f>'Dokument Owner &amp; History'!173:173-"y@4!&amp;3"</f>
        <v>#VALUE!</v>
      </c>
      <c r="AC2" t="e">
        <f>'Dokument Owner &amp; History'!174:174-"y@4!&amp;4"</f>
        <v>#VALUE!</v>
      </c>
      <c r="AD2" t="e">
        <f>'Dokument Owner &amp; History'!175:175-"y@4!&amp;5"</f>
        <v>#VALUE!</v>
      </c>
      <c r="AE2" t="e">
        <f>'Dokument Owner &amp; History'!176:176-"y@4!&amp;6"</f>
        <v>#VALUE!</v>
      </c>
      <c r="AF2" t="e">
        <f>'Dokument Owner &amp; History'!177:177-"y@4!&amp;7"</f>
        <v>#VALUE!</v>
      </c>
      <c r="AG2" t="e">
        <f>'Dokument Owner &amp; History'!178:178-"y@4!&amp;8"</f>
        <v>#VALUE!</v>
      </c>
      <c r="AH2" t="e">
        <f>'Dokument Owner &amp; History'!179:179-"y@4!&amp;9"</f>
        <v>#VALUE!</v>
      </c>
      <c r="AI2" t="e">
        <f>'Dokument Owner &amp; History'!180:180-"y@4!&amp;:"</f>
        <v>#VALUE!</v>
      </c>
      <c r="AJ2" t="e">
        <f>'Dokument Owner &amp; History'!181:181-"y@4!&amp;;"</f>
        <v>#VALUE!</v>
      </c>
      <c r="AK2" t="e">
        <f>'Dokument Owner &amp; History'!182:182-"y@4!&amp;&lt;"</f>
        <v>#VALUE!</v>
      </c>
      <c r="AL2" t="e">
        <f>'Dokument Owner &amp; History'!183:183-"y@4!&amp;="</f>
        <v>#VALUE!</v>
      </c>
      <c r="AM2" t="e">
        <f>'Dokument Owner &amp; History'!184:184-"y@4!&amp;&gt;"</f>
        <v>#VALUE!</v>
      </c>
      <c r="AN2" t="e">
        <f>'Dokument Owner &amp; History'!185:185-"y@4!&amp;?"</f>
        <v>#VALUE!</v>
      </c>
      <c r="AO2" t="e">
        <f>'Dokument Owner &amp; History'!186:186-"y@4!&amp;@"</f>
        <v>#VALUE!</v>
      </c>
      <c r="AP2" t="e">
        <f>'Dokument Owner &amp; History'!187:187-"y@4!&amp;A"</f>
        <v>#VALUE!</v>
      </c>
      <c r="AQ2" t="e">
        <f>'Dokument Owner &amp; History'!188:188-"y@4!&amp;B"</f>
        <v>#VALUE!</v>
      </c>
      <c r="AR2" t="e">
        <f>'Dokument Owner &amp; History'!189:189-"y@4!&amp;C"</f>
        <v>#VALUE!</v>
      </c>
      <c r="AS2" t="e">
        <f>'Dokument Owner &amp; History'!190:190-"y@4!&amp;D"</f>
        <v>#VALUE!</v>
      </c>
      <c r="AT2" t="e">
        <f>'Dokument Owner &amp; History'!191:191-"y@4!&amp;E"</f>
        <v>#VALUE!</v>
      </c>
      <c r="AU2" t="e">
        <f>'Dokument Owner &amp; History'!192:192-"y@4!&amp;F"</f>
        <v>#VALUE!</v>
      </c>
      <c r="AV2" t="e">
        <f>'Dokument Owner &amp; History'!193:193-"y@4!&amp;G"</f>
        <v>#VALUE!</v>
      </c>
      <c r="AW2" t="e">
        <f>'Dokument Owner &amp; History'!194:194-"y@4!&amp;H"</f>
        <v>#VALUE!</v>
      </c>
      <c r="AX2" t="e">
        <f>'Dokument Owner &amp; History'!195:195-"y@4!&amp;I"</f>
        <v>#VALUE!</v>
      </c>
      <c r="AY2" t="e">
        <f>'Dokument Owner &amp; History'!196:196-"y@4!&amp;J"</f>
        <v>#VALUE!</v>
      </c>
      <c r="AZ2" t="e">
        <f>'Dokument Owner &amp; History'!197:197-"y@4!&amp;K"</f>
        <v>#VALUE!</v>
      </c>
      <c r="BA2" t="e">
        <f>'Dokument Owner &amp; History'!198:198-"y@4!&amp;L"</f>
        <v>#VALUE!</v>
      </c>
      <c r="BB2" t="e">
        <f>'Dokument Owner &amp; History'!199:199-"y@4!&amp;M"</f>
        <v>#VALUE!</v>
      </c>
      <c r="BC2" t="e">
        <f>'Dokument Owner &amp; History'!200:200-"y@4!&amp;N"</f>
        <v>#VALUE!</v>
      </c>
      <c r="BD2" t="e">
        <f>'Dokument Owner &amp; History'!201:201-"y@4!&amp;O"</f>
        <v>#VALUE!</v>
      </c>
      <c r="BE2" t="e">
        <f>'Dokument Owner &amp; History'!202:202-"y@4!&amp;P"</f>
        <v>#VALUE!</v>
      </c>
      <c r="BF2" t="e">
        <f>'Dokument Owner &amp; History'!203:203-"y@4!&amp;Q"</f>
        <v>#VALUE!</v>
      </c>
      <c r="BG2" t="e">
        <f>'Dokument Owner &amp; History'!204:204-"y@4!&amp;R"</f>
        <v>#VALUE!</v>
      </c>
      <c r="BH2" t="e">
        <f>'Dokument Owner &amp; History'!205:205-"y@4!&amp;S"</f>
        <v>#VALUE!</v>
      </c>
      <c r="BI2" t="e">
        <f>'Dokument Owner &amp; History'!206:206-"y@4!&amp;T"</f>
        <v>#VALUE!</v>
      </c>
      <c r="BJ2" t="e">
        <f>'Dokument Owner &amp; History'!207:207-"y@4!&amp;U"</f>
        <v>#VALUE!</v>
      </c>
      <c r="BK2" t="e">
        <f>'Dokument Owner &amp; History'!208:208-"y@4!&amp;V"</f>
        <v>#VALUE!</v>
      </c>
      <c r="BL2" t="e">
        <f>'Dokument Owner &amp; History'!209:209-"y@4!&amp;W"</f>
        <v>#VALUE!</v>
      </c>
      <c r="BM2" t="e">
        <f>'Dokument Owner &amp; History'!210:210-"y@4!&amp;X"</f>
        <v>#VALUE!</v>
      </c>
      <c r="BN2" t="e">
        <f>'Dokument Owner &amp; History'!211:211-"y@4!&amp;Y"</f>
        <v>#VALUE!</v>
      </c>
      <c r="BO2" t="e">
        <f>'Dokument Owner &amp; History'!212:212-"y@4!&amp;Z"</f>
        <v>#VALUE!</v>
      </c>
      <c r="BP2" t="e">
        <f>'Dokument Owner &amp; History'!213:213-"y@4!&amp;["</f>
        <v>#VALUE!</v>
      </c>
      <c r="BQ2" t="e">
        <f>'Dokument Owner &amp; History'!214:214-"y@4!&amp;\"</f>
        <v>#VALUE!</v>
      </c>
      <c r="BR2" t="e">
        <f>'Dokument Owner &amp; History'!215:215-"y@4!&amp;]"</f>
        <v>#VALUE!</v>
      </c>
      <c r="BS2" t="e">
        <f>'Dokument Owner &amp; History'!216:216-"y@4!&amp;^"</f>
        <v>#VALUE!</v>
      </c>
      <c r="BT2" t="e">
        <f>'Dokument Owner &amp; History'!217:217-"y@4!&amp;_"</f>
        <v>#VALUE!</v>
      </c>
      <c r="BU2" t="e">
        <f>'Dokument Owner &amp; History'!218:218-"y@4!&amp;`"</f>
        <v>#VALUE!</v>
      </c>
      <c r="BV2" t="e">
        <f>'Dokument Owner &amp; History'!219:219-"y@4!&amp;a"</f>
        <v>#VALUE!</v>
      </c>
      <c r="BW2" t="e">
        <f>#REF!+"y@4!&amp;b"</f>
        <v>#REF!</v>
      </c>
      <c r="BX2" t="e">
        <f>#REF!+"y@4!&amp;c"</f>
        <v>#REF!</v>
      </c>
      <c r="BY2" t="e">
        <f>#REF!+"y@4!&amp;d"</f>
        <v>#REF!</v>
      </c>
      <c r="BZ2" t="e">
        <f>#REF!+"y@4!&amp;e"</f>
        <v>#REF!</v>
      </c>
      <c r="CA2" t="e">
        <f>#REF!+"y@4!&amp;f"</f>
        <v>#REF!</v>
      </c>
      <c r="CB2" t="e">
        <f>#REF!+"y@4!&amp;g"</f>
        <v>#REF!</v>
      </c>
      <c r="CC2" t="e">
        <f>#REF!+"y@4!&amp;h"</f>
        <v>#REF!</v>
      </c>
      <c r="CD2" t="e">
        <f>#REF!+"y@4!&amp;i"</f>
        <v>#REF!</v>
      </c>
      <c r="CE2" t="e">
        <f>#REF!+"y@4!&amp;j"</f>
        <v>#REF!</v>
      </c>
      <c r="CF2" t="e">
        <f>#REF!+"y@4!&amp;k"</f>
        <v>#REF!</v>
      </c>
      <c r="CG2" t="e">
        <f>#REF!+"y@4!&amp;l"</f>
        <v>#REF!</v>
      </c>
      <c r="CH2" t="e">
        <f>#REF!+"y@4!&amp;m"</f>
        <v>#REF!</v>
      </c>
      <c r="CI2" t="e">
        <f>#REF!+"y@4!&amp;n"</f>
        <v>#REF!</v>
      </c>
      <c r="CJ2" t="e">
        <f>#REF!+"y@4!&amp;o"</f>
        <v>#REF!</v>
      </c>
      <c r="CK2" t="e">
        <f>#REF!+"y@4!&amp;p"</f>
        <v>#REF!</v>
      </c>
      <c r="CL2" t="e">
        <f>#REF!+"y@4!&amp;q"</f>
        <v>#REF!</v>
      </c>
      <c r="CM2" t="e">
        <f>#REF!+"y@4!&amp;r"</f>
        <v>#REF!</v>
      </c>
      <c r="CN2" t="e">
        <f>#REF!+"y@4!&amp;s"</f>
        <v>#REF!</v>
      </c>
      <c r="CO2" t="e">
        <f>#REF!+"y@4!&amp;t"</f>
        <v>#REF!</v>
      </c>
      <c r="CP2" t="e">
        <f>#REF!+"y@4!&amp;u"</f>
        <v>#REF!</v>
      </c>
      <c r="CQ2" t="e">
        <f>#REF!+"y@4!&amp;v"</f>
        <v>#REF!</v>
      </c>
      <c r="CR2" t="e">
        <f>#REF!+"y@4!&amp;w"</f>
        <v>#REF!</v>
      </c>
      <c r="CS2" t="e">
        <f>#REF!+"y@4!&amp;x"</f>
        <v>#REF!</v>
      </c>
      <c r="CT2" t="e">
        <f>#REF!+"y@4!&amp;y"</f>
        <v>#REF!</v>
      </c>
      <c r="CU2" t="e">
        <f>#REF!+"y@4!&amp;z"</f>
        <v>#REF!</v>
      </c>
      <c r="CV2" t="e">
        <f>#REF!+"y@4!&amp;{"</f>
        <v>#REF!</v>
      </c>
      <c r="CW2" t="e">
        <f>#REF!+"y@4!&amp;|"</f>
        <v>#REF!</v>
      </c>
      <c r="CX2" t="e">
        <f>#REF!+"y@4!&amp;}"</f>
        <v>#REF!</v>
      </c>
      <c r="CY2" t="e">
        <f>#REF!+"y@4!&amp;~"</f>
        <v>#REF!</v>
      </c>
      <c r="CZ2" t="e">
        <f>#REF!+"y@4!'#"</f>
        <v>#REF!</v>
      </c>
      <c r="DA2" t="e">
        <f>#REF!+"y@4!'$"</f>
        <v>#REF!</v>
      </c>
      <c r="DB2" t="e">
        <f>#REF!+"y@4!'%"</f>
        <v>#REF!</v>
      </c>
      <c r="DC2" t="e">
        <f>#REF!+"y@4!'&amp;"</f>
        <v>#REF!</v>
      </c>
      <c r="DD2" s="2" t="e">
        <f>#REF!+"y@4!''"</f>
        <v>#REF!</v>
      </c>
      <c r="DE2" t="e">
        <f>#REF!+"y@4!'("</f>
        <v>#REF!</v>
      </c>
      <c r="DF2" s="2" t="e">
        <f>#REF!+"y@4!')"</f>
        <v>#REF!</v>
      </c>
      <c r="DG2" s="2" t="e">
        <f>#REF!+"y@4!'."</f>
        <v>#REF!</v>
      </c>
      <c r="DH2" s="2" t="e">
        <f>#REF!+"y@4!'/"</f>
        <v>#REF!</v>
      </c>
      <c r="DI2" s="2" t="e">
        <f>#REF!+"y@4!'0"</f>
        <v>#REF!</v>
      </c>
      <c r="DJ2" t="e">
        <f>#REF!+"y@4!'1"</f>
        <v>#REF!</v>
      </c>
      <c r="DK2" t="e">
        <f>#REF!+"y@4!'2"</f>
        <v>#REF!</v>
      </c>
      <c r="DL2" t="e">
        <f>#REF!+"y@4!'3"</f>
        <v>#REF!</v>
      </c>
      <c r="DM2" t="e">
        <f>#REF!+"y@4!'4"</f>
        <v>#REF!</v>
      </c>
      <c r="DN2" t="e">
        <f>#REF!+"y@4!'5"</f>
        <v>#REF!</v>
      </c>
      <c r="DO2" t="e">
        <f>#REF!+"y@4!'6"</f>
        <v>#REF!</v>
      </c>
      <c r="DP2" t="e">
        <f>#REF!+"y@4!'7"</f>
        <v>#REF!</v>
      </c>
      <c r="DQ2" t="e">
        <f>#REF!+"y@4!'8"</f>
        <v>#REF!</v>
      </c>
      <c r="DR2" t="e">
        <f>#REF!+"y@4!'9"</f>
        <v>#REF!</v>
      </c>
      <c r="DS2" t="e">
        <f>#REF!+"y@4!':"</f>
        <v>#REF!</v>
      </c>
      <c r="DT2" s="2" t="e">
        <f>#REF!+"y@4!';"</f>
        <v>#REF!</v>
      </c>
      <c r="DU2" t="e">
        <f>#REF!+"y@4!'&lt;"</f>
        <v>#REF!</v>
      </c>
      <c r="DV2" s="2" t="e">
        <f>#REF!+"y@4!'="</f>
        <v>#REF!</v>
      </c>
      <c r="DW2" s="2" t="e">
        <f>#REF!+"y@4!'&gt;"</f>
        <v>#REF!</v>
      </c>
      <c r="DX2" s="2" t="e">
        <f>#REF!+"y@4!'?"</f>
        <v>#REF!</v>
      </c>
      <c r="DY2" s="2" t="e">
        <f>#REF!+"y@4!'@"</f>
        <v>#REF!</v>
      </c>
      <c r="DZ2" t="e">
        <f>#REF!+"y@4!'A"</f>
        <v>#REF!</v>
      </c>
      <c r="EA2" t="e">
        <f>#REF!+"y@4!'B"</f>
        <v>#REF!</v>
      </c>
      <c r="EB2" t="e">
        <f>#REF!+"y@4!'C"</f>
        <v>#REF!</v>
      </c>
      <c r="EC2" t="e">
        <f>#REF!+"y@4!'D"</f>
        <v>#REF!</v>
      </c>
      <c r="ED2" t="e">
        <f>#REF!+"y@4!'E"</f>
        <v>#REF!</v>
      </c>
      <c r="EE2" t="e">
        <f>#REF!+"y@4!'F"</f>
        <v>#REF!</v>
      </c>
      <c r="EF2" t="e">
        <f>#REF!+"y@4!'G"</f>
        <v>#REF!</v>
      </c>
      <c r="EG2" t="e">
        <f>#REF!+"y@4!'H"</f>
        <v>#REF!</v>
      </c>
      <c r="EH2" t="e">
        <f>#REF!+"y@4!'I"</f>
        <v>#REF!</v>
      </c>
      <c r="EI2" t="e">
        <f>#REF!+"y@4!'J"</f>
        <v>#REF!</v>
      </c>
      <c r="EJ2" s="2" t="e">
        <f>#REF!+"y@4!'K"</f>
        <v>#REF!</v>
      </c>
      <c r="EK2" t="e">
        <f>#REF!+"y@4!'L"</f>
        <v>#REF!</v>
      </c>
      <c r="EL2" s="2" t="e">
        <f>#REF!+"y@4!'M"</f>
        <v>#REF!</v>
      </c>
      <c r="EM2" s="2" t="e">
        <f>#REF!+"y@4!'N"</f>
        <v>#REF!</v>
      </c>
      <c r="EN2" s="2" t="e">
        <f>#REF!+"y@4!'O"</f>
        <v>#REF!</v>
      </c>
      <c r="EO2" s="2" t="e">
        <f>#REF!+"y@4!'P"</f>
        <v>#REF!</v>
      </c>
      <c r="EP2" t="e">
        <f>#REF!+"y@4!'Q"</f>
        <v>#REF!</v>
      </c>
      <c r="EQ2" t="e">
        <f>#REF!+"y@4!'R"</f>
        <v>#REF!</v>
      </c>
      <c r="ER2" t="e">
        <f>#REF!+"y@4!'S"</f>
        <v>#REF!</v>
      </c>
      <c r="ES2" t="e">
        <f>#REF!+"y@4!'T"</f>
        <v>#REF!</v>
      </c>
      <c r="ET2" t="e">
        <f>#REF!+"y@4!'U"</f>
        <v>#REF!</v>
      </c>
      <c r="EU2" t="e">
        <f>#REF!+"y@4!'V"</f>
        <v>#REF!</v>
      </c>
      <c r="EV2" t="e">
        <f>#REF!+"y@4!'W"</f>
        <v>#REF!</v>
      </c>
      <c r="EW2" t="e">
        <f>#REF!+"y@4!'X"</f>
        <v>#REF!</v>
      </c>
      <c r="EX2" t="e">
        <f>#REF!+"y@4!'Y"</f>
        <v>#REF!</v>
      </c>
      <c r="EY2" t="e">
        <f>#REF!+"y@4!'Z"</f>
        <v>#REF!</v>
      </c>
      <c r="EZ2" s="2" t="e">
        <f>#REF!+"y@4!'["</f>
        <v>#REF!</v>
      </c>
      <c r="FA2" t="e">
        <f>#REF!+"y@4!'\"</f>
        <v>#REF!</v>
      </c>
      <c r="FB2" s="2" t="e">
        <f>#REF!+"y@4!']"</f>
        <v>#REF!</v>
      </c>
      <c r="FC2" s="2" t="e">
        <f>#REF!+"y@4!'^"</f>
        <v>#REF!</v>
      </c>
      <c r="FD2" s="2" t="e">
        <f>#REF!+"y@4!'_"</f>
        <v>#REF!</v>
      </c>
      <c r="FE2" s="2" t="e">
        <f>#REF!+"y@4!'`"</f>
        <v>#REF!</v>
      </c>
      <c r="FF2" t="e">
        <f>#REF!+"y@4!'a"</f>
        <v>#REF!</v>
      </c>
      <c r="FG2" t="e">
        <f>#REF!+"y@4!'b"</f>
        <v>#REF!</v>
      </c>
      <c r="FH2" t="e">
        <f>#REF!+"y@4!'c"</f>
        <v>#REF!</v>
      </c>
      <c r="FI2" t="e">
        <f>#REF!+"y@4!'d"</f>
        <v>#REF!</v>
      </c>
      <c r="FJ2" t="e">
        <f>#REF!+"y@4!'e"</f>
        <v>#REF!</v>
      </c>
      <c r="FK2" t="e">
        <f>#REF!+"y@4!'f"</f>
        <v>#REF!</v>
      </c>
      <c r="FL2" t="e">
        <f>#REF!+"y@4!'g"</f>
        <v>#REF!</v>
      </c>
      <c r="FM2" t="e">
        <f>#REF!+"y@4!'h"</f>
        <v>#REF!</v>
      </c>
      <c r="FN2" t="e">
        <f>#REF!+"y@4!'i"</f>
        <v>#REF!</v>
      </c>
      <c r="FO2" t="e">
        <f>#REF!+"y@4!'j"</f>
        <v>#REF!</v>
      </c>
      <c r="FP2" s="2" t="e">
        <f>#REF!+"y@4!'k"</f>
        <v>#REF!</v>
      </c>
      <c r="FQ2" t="e">
        <f>#REF!+"y@4!'l"</f>
        <v>#REF!</v>
      </c>
      <c r="FR2" s="2" t="e">
        <f>#REF!+"y@4!'m"</f>
        <v>#REF!</v>
      </c>
      <c r="FS2" s="2" t="e">
        <f>#REF!+"y@4!'n"</f>
        <v>#REF!</v>
      </c>
      <c r="FT2" s="2" t="e">
        <f>#REF!+"y@4!'o"</f>
        <v>#REF!</v>
      </c>
      <c r="FU2" s="2" t="e">
        <f>#REF!+"y@4!'p"</f>
        <v>#REF!</v>
      </c>
      <c r="FV2" t="e">
        <f>#REF!+"y@4!'q"</f>
        <v>#REF!</v>
      </c>
      <c r="FW2" t="e">
        <f>#REF!+"y@4!'r"</f>
        <v>#REF!</v>
      </c>
      <c r="FX2" t="e">
        <f>#REF!+"y@4!'s"</f>
        <v>#REF!</v>
      </c>
      <c r="FY2" t="e">
        <f>#REF!+"y@4!'t"</f>
        <v>#REF!</v>
      </c>
      <c r="FZ2" t="e">
        <f>#REF!+"y@4!'u"</f>
        <v>#REF!</v>
      </c>
      <c r="GA2" t="e">
        <f>#REF!+"y@4!'v"</f>
        <v>#REF!</v>
      </c>
      <c r="GB2" t="e">
        <f>#REF!+"y@4!'w"</f>
        <v>#REF!</v>
      </c>
      <c r="GC2" t="e">
        <f>#REF!+"y@4!'x"</f>
        <v>#REF!</v>
      </c>
      <c r="GD2" t="e">
        <f>#REF!+"y@4!'y"</f>
        <v>#REF!</v>
      </c>
      <c r="GE2" t="e">
        <f>#REF!+"y@4!'z"</f>
        <v>#REF!</v>
      </c>
      <c r="GF2" s="2" t="e">
        <f>#REF!+"y@4!'{"</f>
        <v>#REF!</v>
      </c>
      <c r="GG2" t="e">
        <f>#REF!+"y@4!'|"</f>
        <v>#REF!</v>
      </c>
      <c r="GH2" s="2" t="e">
        <f>#REF!+"y@4!'}"</f>
        <v>#REF!</v>
      </c>
      <c r="GI2" s="2" t="e">
        <f>#REF!+"y@4!'~"</f>
        <v>#REF!</v>
      </c>
      <c r="GJ2" s="2" t="e">
        <f>#REF!+"y@4!(#"</f>
        <v>#REF!</v>
      </c>
      <c r="GK2" s="2" t="e">
        <f>#REF!+"y@4!($"</f>
        <v>#REF!</v>
      </c>
      <c r="GL2" t="e">
        <f>#REF!+"y@4!(%"</f>
        <v>#REF!</v>
      </c>
      <c r="GM2" t="e">
        <f>#REF!+"y@4!(&amp;"</f>
        <v>#REF!</v>
      </c>
      <c r="GN2" t="e">
        <f>#REF!+"y@4!('"</f>
        <v>#REF!</v>
      </c>
      <c r="GO2" t="e">
        <f>#REF!+"y@4!(("</f>
        <v>#REF!</v>
      </c>
      <c r="GP2" t="e">
        <f>#REF!+"y@4!()"</f>
        <v>#REF!</v>
      </c>
      <c r="GQ2" t="e">
        <f>#REF!+"y@4!(."</f>
        <v>#REF!</v>
      </c>
      <c r="GR2" t="e">
        <f>#REF!+"y@4!(/"</f>
        <v>#REF!</v>
      </c>
      <c r="GS2" t="e">
        <f>#REF!+"y@4!(0"</f>
        <v>#REF!</v>
      </c>
      <c r="GT2" t="e">
        <f>#REF!+"y@4!(1"</f>
        <v>#REF!</v>
      </c>
      <c r="GU2" t="e">
        <f>#REF!+"y@4!(2"</f>
        <v>#REF!</v>
      </c>
      <c r="GV2" t="e">
        <f>#REF!+"y@4!(3"</f>
        <v>#REF!</v>
      </c>
      <c r="GW2" s="2" t="e">
        <f>#REF!+"y@4!(4"</f>
        <v>#REF!</v>
      </c>
      <c r="GX2" t="e">
        <f>#REF!+"y@4!(5"</f>
        <v>#REF!</v>
      </c>
      <c r="GY2" s="2" t="e">
        <f>#REF!+"y@4!(6"</f>
        <v>#REF!</v>
      </c>
      <c r="GZ2" s="2" t="e">
        <f>#REF!+"y@4!(7"</f>
        <v>#REF!</v>
      </c>
      <c r="HA2" s="2" t="e">
        <f>#REF!+"y@4!(8"</f>
        <v>#REF!</v>
      </c>
      <c r="HB2" s="2" t="e">
        <f>#REF!+"y@4!(9"</f>
        <v>#REF!</v>
      </c>
      <c r="HC2" t="e">
        <f>#REF!+"y@4!(:"</f>
        <v>#REF!</v>
      </c>
      <c r="HD2" t="e">
        <f>#REF!+"y@4!(;"</f>
        <v>#REF!</v>
      </c>
      <c r="HE2" t="e">
        <f>#REF!+"y@4!(&lt;"</f>
        <v>#REF!</v>
      </c>
      <c r="HF2" t="e">
        <f>#REF!+"y@4!(="</f>
        <v>#REF!</v>
      </c>
      <c r="HG2" t="e">
        <f>#REF!+"y@4!(&gt;"</f>
        <v>#REF!</v>
      </c>
      <c r="HH2" t="e">
        <f>#REF!+"y@4!(?"</f>
        <v>#REF!</v>
      </c>
      <c r="HI2" t="e">
        <f>#REF!+"y@4!(@"</f>
        <v>#REF!</v>
      </c>
      <c r="HJ2" t="e">
        <f>#REF!+"y@4!(A"</f>
        <v>#REF!</v>
      </c>
      <c r="HK2" t="e">
        <f>#REF!+"y@4!(B"</f>
        <v>#REF!</v>
      </c>
      <c r="HL2" t="e">
        <f>#REF!+"y@4!(C"</f>
        <v>#REF!</v>
      </c>
      <c r="HM2" s="2" t="e">
        <f>#REF!+"y@4!(D"</f>
        <v>#REF!</v>
      </c>
      <c r="HN2" t="e">
        <f>#REF!+"y@4!(E"</f>
        <v>#REF!</v>
      </c>
      <c r="HO2" s="2" t="e">
        <f>#REF!+"y@4!(F"</f>
        <v>#REF!</v>
      </c>
      <c r="HP2" s="2" t="e">
        <f>#REF!+"y@4!(G"</f>
        <v>#REF!</v>
      </c>
      <c r="HQ2" s="2" t="e">
        <f>#REF!+"y@4!(H"</f>
        <v>#REF!</v>
      </c>
      <c r="HR2" s="2" t="e">
        <f>#REF!+"y@4!(I"</f>
        <v>#REF!</v>
      </c>
      <c r="HS2" t="e">
        <f>#REF!+"y@4!(J"</f>
        <v>#REF!</v>
      </c>
      <c r="HT2" t="e">
        <f>#REF!+"y@4!(K"</f>
        <v>#REF!</v>
      </c>
      <c r="HU2" t="e">
        <f>#REF!+"y@4!(L"</f>
        <v>#REF!</v>
      </c>
      <c r="HV2" t="e">
        <f>#REF!+"y@4!(M"</f>
        <v>#REF!</v>
      </c>
      <c r="HW2" t="e">
        <f>#REF!+"y@4!(N"</f>
        <v>#REF!</v>
      </c>
      <c r="HX2" t="e">
        <f>#REF!+"y@4!(O"</f>
        <v>#REF!</v>
      </c>
      <c r="HY2" t="e">
        <f>#REF!+"y@4!(P"</f>
        <v>#REF!</v>
      </c>
      <c r="HZ2" t="e">
        <f>#REF!+"y@4!(Q"</f>
        <v>#REF!</v>
      </c>
      <c r="IA2" t="e">
        <f>#REF!+"y@4!(R"</f>
        <v>#REF!</v>
      </c>
      <c r="IB2" t="e">
        <f>#REF!+"y@4!(S"</f>
        <v>#REF!</v>
      </c>
      <c r="IC2" s="2" t="e">
        <f>#REF!+"y@4!(T"</f>
        <v>#REF!</v>
      </c>
      <c r="ID2" t="e">
        <f>#REF!+"y@4!(U"</f>
        <v>#REF!</v>
      </c>
      <c r="IE2" s="2" t="e">
        <f>#REF!+"y@4!(V"</f>
        <v>#REF!</v>
      </c>
      <c r="IF2" s="2" t="e">
        <f>#REF!+"y@4!(W"</f>
        <v>#REF!</v>
      </c>
      <c r="IG2" s="2" t="e">
        <f>#REF!+"y@4!(X"</f>
        <v>#REF!</v>
      </c>
      <c r="IH2" s="2" t="e">
        <f>#REF!+"y@4!(Y"</f>
        <v>#REF!</v>
      </c>
      <c r="II2" t="e">
        <f>#REF!+"y@4!(Z"</f>
        <v>#REF!</v>
      </c>
      <c r="IJ2" t="e">
        <f>#REF!+"y@4!(["</f>
        <v>#REF!</v>
      </c>
      <c r="IK2" t="e">
        <f>#REF!+"y@4!(\"</f>
        <v>#REF!</v>
      </c>
      <c r="IL2" t="e">
        <f>#REF!+"y@4!(]"</f>
        <v>#REF!</v>
      </c>
      <c r="IM2" t="e">
        <f>#REF!+"y@4!(^"</f>
        <v>#REF!</v>
      </c>
      <c r="IN2" t="e">
        <f>#REF!+"y@4!(_"</f>
        <v>#REF!</v>
      </c>
      <c r="IO2" t="e">
        <f>#REF!+"y@4!(`"</f>
        <v>#REF!</v>
      </c>
      <c r="IP2" t="e">
        <f>#REF!+"y@4!(a"</f>
        <v>#REF!</v>
      </c>
      <c r="IQ2" t="e">
        <f>#REF!+"y@4!(b"</f>
        <v>#REF!</v>
      </c>
      <c r="IR2" t="e">
        <f>#REF!+"y@4!(c"</f>
        <v>#REF!</v>
      </c>
      <c r="IS2" s="2" t="e">
        <f>#REF!+"y@4!(d"</f>
        <v>#REF!</v>
      </c>
      <c r="IT2" t="e">
        <f>#REF!+"y@4!(e"</f>
        <v>#REF!</v>
      </c>
      <c r="IU2" s="2" t="e">
        <f>#REF!+"y@4!(f"</f>
        <v>#REF!</v>
      </c>
      <c r="IV2" s="2" t="e">
        <f>#REF!+"y@4!(g"</f>
        <v>#REF!</v>
      </c>
    </row>
    <row r="3" spans="1:256" x14ac:dyDescent="0.25">
      <c r="A3" t="s">
        <v>388</v>
      </c>
      <c r="F3" s="2" t="e">
        <f>#REF!+"y@4!(h"</f>
        <v>#REF!</v>
      </c>
      <c r="G3" s="2" t="e">
        <f>#REF!+"y@4!(i"</f>
        <v>#REF!</v>
      </c>
      <c r="H3" t="e">
        <f>#REF!+"y@4!(j"</f>
        <v>#REF!</v>
      </c>
      <c r="I3" t="e">
        <f>#REF!+"y@4!(k"</f>
        <v>#REF!</v>
      </c>
      <c r="J3" t="e">
        <f>#REF!+"y@4!(l"</f>
        <v>#REF!</v>
      </c>
      <c r="K3" t="e">
        <f>#REF!+"y@4!(m"</f>
        <v>#REF!</v>
      </c>
      <c r="L3" t="e">
        <f>#REF!+"y@4!(n"</f>
        <v>#REF!</v>
      </c>
      <c r="M3" t="e">
        <f>#REF!+"y@4!(o"</f>
        <v>#REF!</v>
      </c>
      <c r="N3" t="e">
        <f>#REF!+"y@4!(p"</f>
        <v>#REF!</v>
      </c>
      <c r="O3" t="e">
        <f>#REF!+"y@4!(q"</f>
        <v>#REF!</v>
      </c>
      <c r="P3" t="e">
        <f>#REF!+"y@4!(r"</f>
        <v>#REF!</v>
      </c>
      <c r="Q3" t="e">
        <f>#REF!+"y@4!(s"</f>
        <v>#REF!</v>
      </c>
      <c r="R3" s="2" t="e">
        <f>#REF!+"y@4!(t"</f>
        <v>#REF!</v>
      </c>
      <c r="S3" t="e">
        <f>#REF!+"y@4!(u"</f>
        <v>#REF!</v>
      </c>
      <c r="T3" s="2" t="e">
        <f>#REF!+"y@4!(v"</f>
        <v>#REF!</v>
      </c>
      <c r="U3" s="2" t="e">
        <f>#REF!+"y@4!(w"</f>
        <v>#REF!</v>
      </c>
      <c r="V3" s="2" t="e">
        <f>#REF!+"y@4!(x"</f>
        <v>#REF!</v>
      </c>
      <c r="W3" s="2" t="e">
        <f>#REF!+"y@4!(y"</f>
        <v>#REF!</v>
      </c>
      <c r="X3" t="e">
        <f>#REF!+"y@4!(z"</f>
        <v>#REF!</v>
      </c>
      <c r="Y3" t="e">
        <f>#REF!+"y@4!({"</f>
        <v>#REF!</v>
      </c>
      <c r="Z3" t="e">
        <f>#REF!+"y@4!(|"</f>
        <v>#REF!</v>
      </c>
      <c r="AA3" t="e">
        <f>#REF!+"y@4!(}"</f>
        <v>#REF!</v>
      </c>
      <c r="AB3" t="e">
        <f>#REF!+"y@4!(~"</f>
        <v>#REF!</v>
      </c>
      <c r="AC3" t="e">
        <f>#REF!+"y@4!)#"</f>
        <v>#REF!</v>
      </c>
      <c r="AD3" t="e">
        <f>#REF!+"y@4!)$"</f>
        <v>#REF!</v>
      </c>
      <c r="AE3" t="e">
        <f>#REF!+"y@4!)%"</f>
        <v>#REF!</v>
      </c>
      <c r="AF3" t="e">
        <f>#REF!+"y@4!)&amp;"</f>
        <v>#REF!</v>
      </c>
      <c r="AG3" t="e">
        <f>#REF!+"y@4!)'"</f>
        <v>#REF!</v>
      </c>
      <c r="AH3" s="2" t="e">
        <f>#REF!+"y@4!)("</f>
        <v>#REF!</v>
      </c>
      <c r="AI3" t="e">
        <f>#REF!+"y@4!))"</f>
        <v>#REF!</v>
      </c>
      <c r="AJ3" s="2" t="e">
        <f>#REF!+"y@4!)."</f>
        <v>#REF!</v>
      </c>
      <c r="AK3" s="2" t="e">
        <f>#REF!+"y@4!)/"</f>
        <v>#REF!</v>
      </c>
      <c r="AL3" s="2" t="e">
        <f>#REF!+"y@4!)0"</f>
        <v>#REF!</v>
      </c>
      <c r="AM3" s="2" t="e">
        <f>#REF!+"y@4!)1"</f>
        <v>#REF!</v>
      </c>
      <c r="AN3" t="e">
        <f>#REF!+"y@4!)2"</f>
        <v>#REF!</v>
      </c>
      <c r="AO3" t="e">
        <f>#REF!+"y@4!)3"</f>
        <v>#REF!</v>
      </c>
      <c r="AP3" t="e">
        <f>#REF!+"y@4!)4"</f>
        <v>#REF!</v>
      </c>
      <c r="AQ3" t="e">
        <f>#REF!+"y@4!)5"</f>
        <v>#REF!</v>
      </c>
      <c r="AR3" t="e">
        <f>#REF!+"y@4!)6"</f>
        <v>#REF!</v>
      </c>
      <c r="AS3" t="e">
        <f>#REF!+"y@4!)7"</f>
        <v>#REF!</v>
      </c>
      <c r="AT3" t="e">
        <f>#REF!+"y@4!)8"</f>
        <v>#REF!</v>
      </c>
      <c r="AU3" t="e">
        <f>#REF!+"y@4!)9"</f>
        <v>#REF!</v>
      </c>
      <c r="AV3" t="e">
        <f>#REF!+"y@4!):"</f>
        <v>#REF!</v>
      </c>
      <c r="AW3" t="e">
        <f>#REF!+"y@4!);"</f>
        <v>#REF!</v>
      </c>
      <c r="AX3" s="2" t="e">
        <f>#REF!+"y@4!)&lt;"</f>
        <v>#REF!</v>
      </c>
      <c r="AY3" t="e">
        <f>#REF!+"y@4!)="</f>
        <v>#REF!</v>
      </c>
      <c r="AZ3" s="2" t="e">
        <f>#REF!+"y@4!)&gt;"</f>
        <v>#REF!</v>
      </c>
      <c r="BA3" s="2" t="e">
        <f>#REF!+"y@4!)?"</f>
        <v>#REF!</v>
      </c>
      <c r="BB3" s="2" t="e">
        <f>#REF!+"y@4!)@"</f>
        <v>#REF!</v>
      </c>
      <c r="BC3" s="2" t="e">
        <f>#REF!+"y@4!)A"</f>
        <v>#REF!</v>
      </c>
      <c r="BD3" t="e">
        <f>#REF!+"y@4!)B"</f>
        <v>#REF!</v>
      </c>
      <c r="BE3" t="e">
        <f>#REF!+"y@4!)C"</f>
        <v>#REF!</v>
      </c>
      <c r="BF3" t="e">
        <f>#REF!+"y@4!)D"</f>
        <v>#REF!</v>
      </c>
      <c r="BG3" t="e">
        <f>#REF!+"y@4!)E"</f>
        <v>#REF!</v>
      </c>
      <c r="BH3" t="e">
        <f>#REF!+"y@4!)F"</f>
        <v>#REF!</v>
      </c>
      <c r="BI3" t="e">
        <f>#REF!+"y@4!)G"</f>
        <v>#REF!</v>
      </c>
      <c r="BJ3" t="e">
        <f>#REF!+"y@4!)H"</f>
        <v>#REF!</v>
      </c>
      <c r="BK3" t="e">
        <f>#REF!+"y@4!)I"</f>
        <v>#REF!</v>
      </c>
      <c r="BL3" t="e">
        <f>#REF!+"y@4!)J"</f>
        <v>#REF!</v>
      </c>
      <c r="BM3" t="e">
        <f>#REF!+"y@4!)K"</f>
        <v>#REF!</v>
      </c>
      <c r="BN3" s="2" t="e">
        <f>#REF!+"y@4!)L"</f>
        <v>#REF!</v>
      </c>
      <c r="BO3" t="e">
        <f>#REF!+"y@4!)M"</f>
        <v>#REF!</v>
      </c>
      <c r="BP3" s="2" t="e">
        <f>#REF!+"y@4!)N"</f>
        <v>#REF!</v>
      </c>
      <c r="BQ3" s="2" t="e">
        <f>#REF!+"y@4!)O"</f>
        <v>#REF!</v>
      </c>
      <c r="BR3" s="2" t="e">
        <f>#REF!+"y@4!)P"</f>
        <v>#REF!</v>
      </c>
      <c r="BS3" s="2" t="e">
        <f>#REF!+"y@4!)Q"</f>
        <v>#REF!</v>
      </c>
      <c r="BT3" t="e">
        <f>#REF!+"y@4!)R"</f>
        <v>#REF!</v>
      </c>
      <c r="BU3" t="e">
        <f>#REF!+"y@4!)S"</f>
        <v>#REF!</v>
      </c>
      <c r="BV3" t="e">
        <f>#REF!+"y@4!)T"</f>
        <v>#REF!</v>
      </c>
      <c r="BW3" t="e">
        <f>#REF!+"y@4!)U"</f>
        <v>#REF!</v>
      </c>
      <c r="BX3" t="e">
        <f>#REF!+"y@4!)V"</f>
        <v>#REF!</v>
      </c>
      <c r="BY3" t="e">
        <f>#REF!+"y@4!)W"</f>
        <v>#REF!</v>
      </c>
      <c r="BZ3" t="e">
        <f>#REF!+"y@4!)X"</f>
        <v>#REF!</v>
      </c>
      <c r="CA3" t="e">
        <f>#REF!+"y@4!)Y"</f>
        <v>#REF!</v>
      </c>
      <c r="CB3" t="e">
        <f>#REF!+"y@4!)Z"</f>
        <v>#REF!</v>
      </c>
      <c r="CC3" t="e">
        <f>#REF!+"y@4!)["</f>
        <v>#REF!</v>
      </c>
      <c r="CD3" s="2" t="e">
        <f>#REF!+"y@4!)\"</f>
        <v>#REF!</v>
      </c>
      <c r="CE3" t="e">
        <f>#REF!+"y@4!)]"</f>
        <v>#REF!</v>
      </c>
      <c r="CF3" s="2" t="e">
        <f>#REF!+"y@4!)^"</f>
        <v>#REF!</v>
      </c>
      <c r="CG3" s="2" t="e">
        <f>#REF!+"y@4!)_"</f>
        <v>#REF!</v>
      </c>
      <c r="CH3" s="2" t="e">
        <f>#REF!+"y@4!)`"</f>
        <v>#REF!</v>
      </c>
      <c r="CI3" s="2" t="e">
        <f>#REF!+"y@4!)a"</f>
        <v>#REF!</v>
      </c>
      <c r="CJ3" t="e">
        <f>#REF!+"y@4!)b"</f>
        <v>#REF!</v>
      </c>
      <c r="CK3" t="e">
        <f>#REF!+"y@4!)c"</f>
        <v>#REF!</v>
      </c>
      <c r="CL3" t="e">
        <f>#REF!+"y@4!)d"</f>
        <v>#REF!</v>
      </c>
      <c r="CM3" t="e">
        <f>#REF!+"y@4!)e"</f>
        <v>#REF!</v>
      </c>
      <c r="CN3" t="e">
        <f>#REF!+"y@4!)f"</f>
        <v>#REF!</v>
      </c>
      <c r="CO3" t="e">
        <f>#REF!+"y@4!)g"</f>
        <v>#REF!</v>
      </c>
      <c r="CP3" t="e">
        <f>#REF!+"y@4!)h"</f>
        <v>#REF!</v>
      </c>
      <c r="CQ3" t="e">
        <f>#REF!+"y@4!)i"</f>
        <v>#REF!</v>
      </c>
      <c r="CR3" t="e">
        <f>#REF!+"y@4!)j"</f>
        <v>#REF!</v>
      </c>
      <c r="CS3" t="e">
        <f>#REF!+"y@4!)k"</f>
        <v>#REF!</v>
      </c>
      <c r="CT3" s="2" t="e">
        <f>#REF!+"y@4!)l"</f>
        <v>#REF!</v>
      </c>
      <c r="CU3" t="e">
        <f>#REF!+"y@4!)m"</f>
        <v>#REF!</v>
      </c>
      <c r="CV3" s="2" t="e">
        <f>#REF!+"y@4!)n"</f>
        <v>#REF!</v>
      </c>
      <c r="CW3" s="2" t="e">
        <f>#REF!+"y@4!)o"</f>
        <v>#REF!</v>
      </c>
      <c r="CX3" s="2" t="e">
        <f>#REF!+"y@4!)p"</f>
        <v>#REF!</v>
      </c>
      <c r="CY3" s="2" t="e">
        <f>#REF!+"y@4!)q"</f>
        <v>#REF!</v>
      </c>
      <c r="CZ3" t="e">
        <f>#REF!+"y@4!)r"</f>
        <v>#REF!</v>
      </c>
      <c r="DA3" t="e">
        <f>#REF!+"y@4!)s"</f>
        <v>#REF!</v>
      </c>
      <c r="DB3" t="e">
        <f>#REF!+"y@4!)t"</f>
        <v>#REF!</v>
      </c>
      <c r="DC3" t="e">
        <f>#REF!+"y@4!)u"</f>
        <v>#REF!</v>
      </c>
      <c r="DD3" t="e">
        <f>#REF!+"y@4!)v"</f>
        <v>#REF!</v>
      </c>
      <c r="DE3" t="e">
        <f>#REF!+"y@4!)w"</f>
        <v>#REF!</v>
      </c>
      <c r="DF3" t="e">
        <f>#REF!+"y@4!)x"</f>
        <v>#REF!</v>
      </c>
      <c r="DG3" t="e">
        <f>#REF!+"y@4!)y"</f>
        <v>#REF!</v>
      </c>
      <c r="DH3" t="e">
        <f>#REF!+"y@4!)z"</f>
        <v>#REF!</v>
      </c>
      <c r="DI3" t="e">
        <f>#REF!+"y@4!){"</f>
        <v>#REF!</v>
      </c>
      <c r="DJ3" s="2" t="e">
        <f>#REF!+"y@4!)|"</f>
        <v>#REF!</v>
      </c>
      <c r="DK3" t="e">
        <f>#REF!+"y@4!)}"</f>
        <v>#REF!</v>
      </c>
      <c r="DL3" s="2" t="e">
        <f>#REF!+"y@4!)~"</f>
        <v>#REF!</v>
      </c>
      <c r="DM3" s="2" t="e">
        <f>#REF!+"y@4!.#"</f>
        <v>#REF!</v>
      </c>
      <c r="DN3" s="2" t="e">
        <f>#REF!+"y@4!.$"</f>
        <v>#REF!</v>
      </c>
      <c r="DO3" s="2" t="e">
        <f>#REF!+"y@4!.%"</f>
        <v>#REF!</v>
      </c>
      <c r="DP3" t="e">
        <f>#REF!+"y@4!.&amp;"</f>
        <v>#REF!</v>
      </c>
      <c r="DQ3" t="e">
        <f>#REF!+"y@4!.'"</f>
        <v>#REF!</v>
      </c>
      <c r="DR3" t="e">
        <f>#REF!+"y@4!.("</f>
        <v>#REF!</v>
      </c>
      <c r="DS3" t="e">
        <f>#REF!+"y@4!.)"</f>
        <v>#REF!</v>
      </c>
      <c r="DT3" t="e">
        <f>#REF!+"y@4!.."</f>
        <v>#REF!</v>
      </c>
      <c r="DU3" t="e">
        <f>#REF!+"y@4!./"</f>
        <v>#REF!</v>
      </c>
      <c r="DV3" t="e">
        <f>#REF!+"y@4!.0"</f>
        <v>#REF!</v>
      </c>
      <c r="DW3" t="e">
        <f>#REF!+"y@4!.1"</f>
        <v>#REF!</v>
      </c>
      <c r="DX3" t="e">
        <f>#REF!+"y@4!.2"</f>
        <v>#REF!</v>
      </c>
      <c r="DY3" t="e">
        <f>#REF!+"y@4!.3"</f>
        <v>#REF!</v>
      </c>
      <c r="DZ3" s="2" t="e">
        <f>#REF!+"y@4!.4"</f>
        <v>#REF!</v>
      </c>
      <c r="EA3" t="e">
        <f>#REF!+"y@4!.5"</f>
        <v>#REF!</v>
      </c>
      <c r="EB3" s="2" t="e">
        <f>#REF!+"y@4!.6"</f>
        <v>#REF!</v>
      </c>
      <c r="EC3" s="2" t="e">
        <f>#REF!+"y@4!.7"</f>
        <v>#REF!</v>
      </c>
      <c r="ED3" s="2" t="e">
        <f>#REF!+"y@4!.8"</f>
        <v>#REF!</v>
      </c>
      <c r="EE3" s="2" t="e">
        <f>#REF!+"y@4!.9"</f>
        <v>#REF!</v>
      </c>
      <c r="EF3" t="e">
        <f>#REF!+"y@4!.:"</f>
        <v>#REF!</v>
      </c>
      <c r="EG3" t="e">
        <f>#REF!+"y@4!.;"</f>
        <v>#REF!</v>
      </c>
      <c r="EH3" t="e">
        <f>#REF!+"y@4!.&lt;"</f>
        <v>#REF!</v>
      </c>
      <c r="EI3" t="e">
        <f>#REF!+"y@4!.="</f>
        <v>#REF!</v>
      </c>
      <c r="EJ3" t="e">
        <f>#REF!+"y@4!.&gt;"</f>
        <v>#REF!</v>
      </c>
      <c r="EK3" t="e">
        <f>#REF!+"y@4!.?"</f>
        <v>#REF!</v>
      </c>
      <c r="EL3" t="e">
        <f>#REF!+"y@4!.@"</f>
        <v>#REF!</v>
      </c>
      <c r="EM3" t="e">
        <f>#REF!+"y@4!.A"</f>
        <v>#REF!</v>
      </c>
      <c r="EN3" t="e">
        <f>#REF!+"y@4!.B"</f>
        <v>#REF!</v>
      </c>
      <c r="EO3" t="e">
        <f>#REF!+"y@4!.C"</f>
        <v>#REF!</v>
      </c>
      <c r="EP3" s="2" t="e">
        <f>#REF!+"y@4!.D"</f>
        <v>#REF!</v>
      </c>
      <c r="EQ3" t="e">
        <f>#REF!+"y@4!.E"</f>
        <v>#REF!</v>
      </c>
      <c r="ER3" s="2" t="e">
        <f>#REF!+"y@4!.F"</f>
        <v>#REF!</v>
      </c>
      <c r="ES3" s="2" t="e">
        <f>#REF!+"y@4!.G"</f>
        <v>#REF!</v>
      </c>
      <c r="ET3" s="2" t="e">
        <f>#REF!+"y@4!.H"</f>
        <v>#REF!</v>
      </c>
      <c r="EU3" s="2" t="e">
        <f>#REF!+"y@4!.I"</f>
        <v>#REF!</v>
      </c>
      <c r="EV3" t="e">
        <f>#REF!+"y@4!.J"</f>
        <v>#REF!</v>
      </c>
      <c r="EW3" t="e">
        <f>#REF!+"y@4!.K"</f>
        <v>#REF!</v>
      </c>
      <c r="EX3" t="e">
        <f>#REF!+"y@4!.L"</f>
        <v>#REF!</v>
      </c>
      <c r="EY3" t="e">
        <f>#REF!+"y@4!.M"</f>
        <v>#REF!</v>
      </c>
      <c r="EZ3" t="e">
        <f>#REF!+"y@4!.N"</f>
        <v>#REF!</v>
      </c>
      <c r="FA3" t="e">
        <f>#REF!+"y@4!.O"</f>
        <v>#REF!</v>
      </c>
      <c r="FB3" t="e">
        <f>#REF!+"y@4!.P"</f>
        <v>#REF!</v>
      </c>
      <c r="FC3" t="e">
        <f>#REF!+"y@4!.Q"</f>
        <v>#REF!</v>
      </c>
      <c r="FD3" t="e">
        <f>#REF!+"y@4!.R"</f>
        <v>#REF!</v>
      </c>
      <c r="FE3" t="e">
        <f>#REF!+"y@4!.S"</f>
        <v>#REF!</v>
      </c>
      <c r="FF3" s="2" t="e">
        <f>#REF!+"y@4!.T"</f>
        <v>#REF!</v>
      </c>
      <c r="FG3" t="e">
        <f>#REF!+"y@4!.U"</f>
        <v>#REF!</v>
      </c>
      <c r="FH3" s="2" t="e">
        <f>#REF!+"y@4!.V"</f>
        <v>#REF!</v>
      </c>
      <c r="FI3" s="2" t="e">
        <f>#REF!+"y@4!.W"</f>
        <v>#REF!</v>
      </c>
      <c r="FJ3" s="2" t="e">
        <f>#REF!+"y@4!.X"</f>
        <v>#REF!</v>
      </c>
      <c r="FK3" s="2" t="e">
        <f>#REF!+"y@4!.Y"</f>
        <v>#REF!</v>
      </c>
      <c r="FL3" t="e">
        <f>#REF!+"y@4!.Z"</f>
        <v>#REF!</v>
      </c>
      <c r="FM3" t="e">
        <f>#REF!+"y@4!.["</f>
        <v>#REF!</v>
      </c>
      <c r="FN3" t="e">
        <f>#REF!+"y@4!.\"</f>
        <v>#REF!</v>
      </c>
      <c r="FO3" t="e">
        <f>#REF!+"y@4!.]"</f>
        <v>#REF!</v>
      </c>
      <c r="FP3" t="e">
        <f>#REF!+"y@4!.^"</f>
        <v>#REF!</v>
      </c>
      <c r="FQ3" t="e">
        <f>#REF!+"y@4!._"</f>
        <v>#REF!</v>
      </c>
      <c r="FR3" t="e">
        <f>#REF!+"y@4!.`"</f>
        <v>#REF!</v>
      </c>
      <c r="FS3" t="e">
        <f>#REF!+"y@4!.a"</f>
        <v>#REF!</v>
      </c>
      <c r="FT3" t="e">
        <f>#REF!+"y@4!.b"</f>
        <v>#REF!</v>
      </c>
      <c r="FU3" t="e">
        <f>#REF!+"y@4!.c"</f>
        <v>#REF!</v>
      </c>
      <c r="FV3" s="2" t="e">
        <f>#REF!+"y@4!.d"</f>
        <v>#REF!</v>
      </c>
      <c r="FW3" t="e">
        <f>#REF!+"y@4!.e"</f>
        <v>#REF!</v>
      </c>
      <c r="FX3" s="2" t="e">
        <f>#REF!+"y@4!.f"</f>
        <v>#REF!</v>
      </c>
      <c r="FY3" s="2" t="e">
        <f>#REF!+"y@4!.g"</f>
        <v>#REF!</v>
      </c>
      <c r="FZ3" s="2" t="e">
        <f>#REF!+"y@4!.h"</f>
        <v>#REF!</v>
      </c>
      <c r="GA3" s="2" t="e">
        <f>#REF!+"y@4!.i"</f>
        <v>#REF!</v>
      </c>
      <c r="GB3" t="e">
        <f>#REF!+"y@4!.j"</f>
        <v>#REF!</v>
      </c>
      <c r="GC3" t="e">
        <f>#REF!+"y@4!.k"</f>
        <v>#REF!</v>
      </c>
      <c r="GD3" t="e">
        <f>#REF!+"y@4!.l"</f>
        <v>#REF!</v>
      </c>
      <c r="GE3" t="e">
        <f>#REF!+"y@4!.m"</f>
        <v>#REF!</v>
      </c>
      <c r="GF3" t="e">
        <f>#REF!+"y@4!.n"</f>
        <v>#REF!</v>
      </c>
      <c r="GG3" t="e">
        <f>#REF!+"y@4!.o"</f>
        <v>#REF!</v>
      </c>
      <c r="GH3" t="e">
        <f>#REF!+"y@4!.p"</f>
        <v>#REF!</v>
      </c>
      <c r="GI3" t="e">
        <f>#REF!+"y@4!.q"</f>
        <v>#REF!</v>
      </c>
      <c r="GJ3" t="e">
        <f>#REF!+"y@4!.r"</f>
        <v>#REF!</v>
      </c>
      <c r="GK3" t="e">
        <f>#REF!+"y@4!.s"</f>
        <v>#REF!</v>
      </c>
      <c r="GL3" s="2" t="e">
        <f>#REF!+"y@4!.t"</f>
        <v>#REF!</v>
      </c>
      <c r="GM3" t="e">
        <f>#REF!+"y@4!.u"</f>
        <v>#REF!</v>
      </c>
      <c r="GN3" s="2" t="e">
        <f>#REF!+"y@4!.v"</f>
        <v>#REF!</v>
      </c>
      <c r="GO3" s="2" t="e">
        <f>#REF!+"y@4!.w"</f>
        <v>#REF!</v>
      </c>
      <c r="GP3" s="2" t="e">
        <f>#REF!+"y@4!.x"</f>
        <v>#REF!</v>
      </c>
      <c r="GQ3" s="2" t="e">
        <f>#REF!+"y@4!.y"</f>
        <v>#REF!</v>
      </c>
      <c r="GR3" t="e">
        <f>#REF!+"y@4!.z"</f>
        <v>#REF!</v>
      </c>
      <c r="GS3" t="e">
        <f>#REF!+"y@4!.{"</f>
        <v>#REF!</v>
      </c>
      <c r="GT3" t="e">
        <f>#REF!+"y@4!.|"</f>
        <v>#REF!</v>
      </c>
      <c r="GU3" t="e">
        <f>#REF!+"y@4!.}"</f>
        <v>#REF!</v>
      </c>
      <c r="GV3" t="e">
        <f>#REF!+"y@4!.~"</f>
        <v>#REF!</v>
      </c>
      <c r="GW3" t="e">
        <f>#REF!+"y@4!/#"</f>
        <v>#REF!</v>
      </c>
      <c r="GX3" t="e">
        <f>#REF!+"y@4!/$"</f>
        <v>#REF!</v>
      </c>
      <c r="GY3" t="e">
        <f>#REF!+"y@4!/%"</f>
        <v>#REF!</v>
      </c>
      <c r="GZ3" t="e">
        <f>#REF!+"y@4!/&amp;"</f>
        <v>#REF!</v>
      </c>
      <c r="HA3" t="e">
        <f>#REF!+"y@4!/'"</f>
        <v>#REF!</v>
      </c>
      <c r="HB3" s="2" t="e">
        <f>#REF!+"y@4!/("</f>
        <v>#REF!</v>
      </c>
      <c r="HC3" t="e">
        <f>#REF!+"y@4!/)"</f>
        <v>#REF!</v>
      </c>
      <c r="HD3" s="2" t="e">
        <f>#REF!+"y@4!/."</f>
        <v>#REF!</v>
      </c>
      <c r="HE3" s="2" t="e">
        <f>#REF!+"y@4!//"</f>
        <v>#REF!</v>
      </c>
      <c r="HF3" s="2" t="e">
        <f>#REF!+"y@4!/0"</f>
        <v>#REF!</v>
      </c>
      <c r="HG3" s="2" t="e">
        <f>#REF!+"y@4!/1"</f>
        <v>#REF!</v>
      </c>
      <c r="HH3" t="e">
        <f>#REF!+"y@4!/2"</f>
        <v>#REF!</v>
      </c>
      <c r="HI3" t="e">
        <f>#REF!+"y@4!/3"</f>
        <v>#REF!</v>
      </c>
      <c r="HJ3" t="e">
        <f>#REF!+"y@4!/4"</f>
        <v>#REF!</v>
      </c>
      <c r="HK3" t="e">
        <f>#REF!+"y@4!/5"</f>
        <v>#REF!</v>
      </c>
      <c r="HL3" t="e">
        <f>#REF!+"y@4!/6"</f>
        <v>#REF!</v>
      </c>
      <c r="HM3" t="e">
        <f>#REF!+"y@4!/7"</f>
        <v>#REF!</v>
      </c>
      <c r="HN3" t="e">
        <f>#REF!+"y@4!/8"</f>
        <v>#REF!</v>
      </c>
      <c r="HO3" t="e">
        <f>#REF!+"y@4!/9"</f>
        <v>#REF!</v>
      </c>
      <c r="HP3" t="e">
        <f>#REF!+"y@4!/:"</f>
        <v>#REF!</v>
      </c>
      <c r="HQ3" t="e">
        <f>#REF!+"y@4!/;"</f>
        <v>#REF!</v>
      </c>
      <c r="HR3" s="2" t="e">
        <f>#REF!+"y@4!/&lt;"</f>
        <v>#REF!</v>
      </c>
      <c r="HS3" t="e">
        <f>#REF!+"y@4!/="</f>
        <v>#REF!</v>
      </c>
      <c r="HT3" s="2" t="e">
        <f>#REF!+"y@4!/&gt;"</f>
        <v>#REF!</v>
      </c>
      <c r="HU3" s="2" t="e">
        <f>#REF!+"y@4!/?"</f>
        <v>#REF!</v>
      </c>
      <c r="HV3" s="2" t="e">
        <f>#REF!+"y@4!/@"</f>
        <v>#REF!</v>
      </c>
      <c r="HW3" s="2" t="e">
        <f>#REF!+"y@4!/A"</f>
        <v>#REF!</v>
      </c>
      <c r="HX3" t="e">
        <f>#REF!+"y@4!/B"</f>
        <v>#REF!</v>
      </c>
      <c r="HY3" t="e">
        <f>#REF!+"y@4!/C"</f>
        <v>#REF!</v>
      </c>
      <c r="HZ3" t="e">
        <f>#REF!+"y@4!/D"</f>
        <v>#REF!</v>
      </c>
      <c r="IA3" t="e">
        <f>#REF!+"y@4!/E"</f>
        <v>#REF!</v>
      </c>
      <c r="IB3" t="e">
        <f>#REF!+"y@4!/F"</f>
        <v>#REF!</v>
      </c>
      <c r="IC3" t="e">
        <f>#REF!+"y@4!/G"</f>
        <v>#REF!</v>
      </c>
      <c r="ID3" t="e">
        <f>#REF!+"y@4!/H"</f>
        <v>#REF!</v>
      </c>
      <c r="IE3" t="e">
        <f>#REF!+"y@4!/I"</f>
        <v>#REF!</v>
      </c>
      <c r="IF3" t="e">
        <f>#REF!+"y@4!/J"</f>
        <v>#REF!</v>
      </c>
      <c r="IG3" t="e">
        <f>#REF!+"y@4!/K"</f>
        <v>#REF!</v>
      </c>
      <c r="IH3" s="2" t="e">
        <f>#REF!+"y@4!/L"</f>
        <v>#REF!</v>
      </c>
      <c r="II3" t="e">
        <f>#REF!+"y@4!/M"</f>
        <v>#REF!</v>
      </c>
      <c r="IJ3" s="2" t="e">
        <f>#REF!+"y@4!/N"</f>
        <v>#REF!</v>
      </c>
      <c r="IK3" s="2" t="e">
        <f>#REF!+"y@4!/O"</f>
        <v>#REF!</v>
      </c>
      <c r="IL3" s="2" t="e">
        <f>#REF!+"y@4!/P"</f>
        <v>#REF!</v>
      </c>
      <c r="IM3" s="2" t="e">
        <f>#REF!+"y@4!/Q"</f>
        <v>#REF!</v>
      </c>
      <c r="IN3" t="e">
        <f>#REF!+"y@4!/R"</f>
        <v>#REF!</v>
      </c>
      <c r="IO3" t="e">
        <f>#REF!+"y@4!/S"</f>
        <v>#REF!</v>
      </c>
      <c r="IP3" t="e">
        <f>#REF!+"y@4!/T"</f>
        <v>#REF!</v>
      </c>
      <c r="IQ3" t="e">
        <f>#REF!+"y@4!/U"</f>
        <v>#REF!</v>
      </c>
      <c r="IR3" t="e">
        <f>#REF!+"y@4!/V"</f>
        <v>#REF!</v>
      </c>
      <c r="IS3" t="e">
        <f>#REF!+"y@4!/W"</f>
        <v>#REF!</v>
      </c>
      <c r="IT3" t="e">
        <f>#REF!+"y@4!/X"</f>
        <v>#REF!</v>
      </c>
      <c r="IU3" t="e">
        <f>#REF!+"y@4!/Y"</f>
        <v>#REF!</v>
      </c>
      <c r="IV3" t="e">
        <f>#REF!+"y@4!/Z"</f>
        <v>#REF!</v>
      </c>
    </row>
    <row r="4" spans="1:256" x14ac:dyDescent="0.25">
      <c r="A4" t="s">
        <v>389</v>
      </c>
      <c r="F4" t="e">
        <f>#REF!+"y@4!/["</f>
        <v>#REF!</v>
      </c>
      <c r="G4" s="2" t="e">
        <f>#REF!+"y@4!/\"</f>
        <v>#REF!</v>
      </c>
      <c r="H4" t="e">
        <f>#REF!+"y@4!/]"</f>
        <v>#REF!</v>
      </c>
      <c r="I4" s="2" t="e">
        <f>#REF!+"y@4!/^"</f>
        <v>#REF!</v>
      </c>
      <c r="J4" s="2" t="e">
        <f>#REF!+"y@4!/_"</f>
        <v>#REF!</v>
      </c>
      <c r="K4" s="2" t="e">
        <f>#REF!+"y@4!/`"</f>
        <v>#REF!</v>
      </c>
      <c r="L4" s="2" t="e">
        <f>#REF!+"y@4!/a"</f>
        <v>#REF!</v>
      </c>
      <c r="M4" t="e">
        <f>#REF!+"y@4!/b"</f>
        <v>#REF!</v>
      </c>
      <c r="N4" t="e">
        <f>#REF!+"y@4!/c"</f>
        <v>#REF!</v>
      </c>
      <c r="O4" t="e">
        <f>#REF!+"y@4!/d"</f>
        <v>#REF!</v>
      </c>
      <c r="P4" t="e">
        <f>#REF!+"y@4!/e"</f>
        <v>#REF!</v>
      </c>
      <c r="Q4" t="e">
        <f>#REF!+"y@4!/f"</f>
        <v>#REF!</v>
      </c>
      <c r="R4" t="e">
        <f>#REF!+"y@4!/g"</f>
        <v>#REF!</v>
      </c>
      <c r="S4" t="e">
        <f>#REF!+"y@4!/h"</f>
        <v>#REF!</v>
      </c>
      <c r="T4" t="e">
        <f>#REF!+"y@4!/i"</f>
        <v>#REF!</v>
      </c>
      <c r="U4" t="e">
        <f>#REF!+"y@4!/j"</f>
        <v>#REF!</v>
      </c>
      <c r="V4" t="e">
        <f>#REF!+"y@4!/k"</f>
        <v>#REF!</v>
      </c>
      <c r="W4" s="2" t="e">
        <f>#REF!+"y@4!/l"</f>
        <v>#REF!</v>
      </c>
      <c r="X4" t="e">
        <f>#REF!+"y@4!/m"</f>
        <v>#REF!</v>
      </c>
      <c r="Y4" s="2" t="e">
        <f>#REF!+"y@4!/n"</f>
        <v>#REF!</v>
      </c>
      <c r="Z4" s="2" t="e">
        <f>#REF!+"y@4!/o"</f>
        <v>#REF!</v>
      </c>
      <c r="AA4" s="2" t="e">
        <f>#REF!+"y@4!/p"</f>
        <v>#REF!</v>
      </c>
      <c r="AB4" s="2" t="e">
        <f>#REF!+"y@4!/q"</f>
        <v>#REF!</v>
      </c>
      <c r="AC4" t="e">
        <f>#REF!+"y@4!/r"</f>
        <v>#REF!</v>
      </c>
      <c r="AD4" t="e">
        <f>#REF!+"y@4!/s"</f>
        <v>#REF!</v>
      </c>
      <c r="AE4" t="e">
        <f>#REF!+"y@4!/t"</f>
        <v>#REF!</v>
      </c>
      <c r="AF4" t="e">
        <f>#REF!+"y@4!/u"</f>
        <v>#REF!</v>
      </c>
      <c r="AG4" t="e">
        <f>#REF!+"y@4!/v"</f>
        <v>#REF!</v>
      </c>
      <c r="AH4" t="e">
        <f>#REF!+"y@4!/w"</f>
        <v>#REF!</v>
      </c>
      <c r="AI4" t="e">
        <f>#REF!+"y@4!/x"</f>
        <v>#REF!</v>
      </c>
      <c r="AJ4" t="e">
        <f>#REF!+"y@4!/y"</f>
        <v>#REF!</v>
      </c>
      <c r="AK4" t="e">
        <f>#REF!+"y@4!/z"</f>
        <v>#REF!</v>
      </c>
      <c r="AL4" t="e">
        <f>#REF!+"y@4!/{"</f>
        <v>#REF!</v>
      </c>
      <c r="AM4" s="2" t="e">
        <f>#REF!+"y@4!/|"</f>
        <v>#REF!</v>
      </c>
      <c r="AN4" t="e">
        <f>#REF!+"y@4!/}"</f>
        <v>#REF!</v>
      </c>
      <c r="AO4" s="2" t="e">
        <f>#REF!+"y@4!/~"</f>
        <v>#REF!</v>
      </c>
      <c r="AP4" s="2" t="e">
        <f>#REF!+"y@4!0#"</f>
        <v>#REF!</v>
      </c>
      <c r="AQ4" s="2" t="e">
        <f>#REF!+"y@4!0$"</f>
        <v>#REF!</v>
      </c>
      <c r="AR4" s="2" t="e">
        <f>#REF!+"y@4!0%"</f>
        <v>#REF!</v>
      </c>
      <c r="AS4" t="e">
        <f>#REF!+"y@4!0&amp;"</f>
        <v>#REF!</v>
      </c>
      <c r="AT4" t="e">
        <f>#REF!+"y@4!0'"</f>
        <v>#REF!</v>
      </c>
      <c r="AU4" t="e">
        <f>#REF!+"y@4!0("</f>
        <v>#REF!</v>
      </c>
      <c r="AV4" t="e">
        <f>#REF!+"y@4!0)"</f>
        <v>#REF!</v>
      </c>
      <c r="AW4" t="e">
        <f>#REF!+"y@4!0."</f>
        <v>#REF!</v>
      </c>
      <c r="AX4" t="e">
        <f>#REF!+"y@4!0/"</f>
        <v>#REF!</v>
      </c>
      <c r="AY4" t="e">
        <f>#REF!+"y@4!00"</f>
        <v>#REF!</v>
      </c>
      <c r="AZ4" t="e">
        <f>#REF!+"y@4!01"</f>
        <v>#REF!</v>
      </c>
      <c r="BA4" t="e">
        <f>#REF!+"y@4!02"</f>
        <v>#REF!</v>
      </c>
      <c r="BB4" t="e">
        <f>#REF!+"y@4!03"</f>
        <v>#REF!</v>
      </c>
      <c r="BC4" s="2" t="e">
        <f>#REF!+"y@4!04"</f>
        <v>#REF!</v>
      </c>
      <c r="BD4" t="e">
        <f>#REF!+"y@4!05"</f>
        <v>#REF!</v>
      </c>
      <c r="BE4" s="2" t="e">
        <f>#REF!+"y@4!06"</f>
        <v>#REF!</v>
      </c>
      <c r="BF4" s="2" t="e">
        <f>#REF!+"y@4!07"</f>
        <v>#REF!</v>
      </c>
      <c r="BG4" s="2" t="e">
        <f>#REF!+"y@4!08"</f>
        <v>#REF!</v>
      </c>
      <c r="BH4" s="2" t="e">
        <f>#REF!+"y@4!09"</f>
        <v>#REF!</v>
      </c>
      <c r="BI4" t="e">
        <f>#REF!+"y@4!0:"</f>
        <v>#REF!</v>
      </c>
      <c r="BJ4" t="e">
        <f>#REF!+"y@4!0;"</f>
        <v>#REF!</v>
      </c>
      <c r="BK4" t="e">
        <f>#REF!+"y@4!0&lt;"</f>
        <v>#REF!</v>
      </c>
      <c r="BL4" t="e">
        <f>#REF!+"y@4!0="</f>
        <v>#REF!</v>
      </c>
      <c r="BM4" t="e">
        <f>#REF!+"y@4!0&gt;"</f>
        <v>#REF!</v>
      </c>
      <c r="BN4" t="e">
        <f>#REF!+"y@4!0?"</f>
        <v>#REF!</v>
      </c>
      <c r="BO4" t="e">
        <f>#REF!+"y@4!0@"</f>
        <v>#REF!</v>
      </c>
      <c r="BP4" t="e">
        <f>#REF!+"y@4!0A"</f>
        <v>#REF!</v>
      </c>
      <c r="BQ4" t="e">
        <f>#REF!+"y@4!0B"</f>
        <v>#REF!</v>
      </c>
      <c r="BR4" t="e">
        <f>#REF!+"y@4!0C"</f>
        <v>#REF!</v>
      </c>
      <c r="BS4" s="2" t="e">
        <f>#REF!+"y@4!0D"</f>
        <v>#REF!</v>
      </c>
      <c r="BT4" t="e">
        <f>#REF!+"y@4!0E"</f>
        <v>#REF!</v>
      </c>
      <c r="BU4" s="2" t="e">
        <f>#REF!+"y@4!0F"</f>
        <v>#REF!</v>
      </c>
      <c r="BV4" s="2" t="e">
        <f>#REF!+"y@4!0G"</f>
        <v>#REF!</v>
      </c>
      <c r="BW4" s="2" t="e">
        <f>#REF!+"y@4!0H"</f>
        <v>#REF!</v>
      </c>
      <c r="BX4" s="2" t="e">
        <f>#REF!+"y@4!0I"</f>
        <v>#REF!</v>
      </c>
      <c r="BY4" t="e">
        <f>#REF!+"y@4!0J"</f>
        <v>#REF!</v>
      </c>
      <c r="BZ4" t="e">
        <f>#REF!+"y@4!0K"</f>
        <v>#REF!</v>
      </c>
      <c r="CA4" t="e">
        <f>#REF!+"y@4!0L"</f>
        <v>#REF!</v>
      </c>
      <c r="CB4" t="e">
        <f>#REF!+"y@4!0M"</f>
        <v>#REF!</v>
      </c>
      <c r="CC4" t="e">
        <f>#REF!+"y@4!0N"</f>
        <v>#REF!</v>
      </c>
      <c r="CD4" t="e">
        <f>#REF!+"y@4!0O"</f>
        <v>#REF!</v>
      </c>
      <c r="CE4" t="e">
        <f>#REF!+"y@4!0P"</f>
        <v>#REF!</v>
      </c>
      <c r="CF4" t="e">
        <f>#REF!+"y@4!0Q"</f>
        <v>#REF!</v>
      </c>
      <c r="CG4" t="e">
        <f>#REF!+"y@4!0R"</f>
        <v>#REF!</v>
      </c>
      <c r="CH4" t="e">
        <f>#REF!+"y@4!0S"</f>
        <v>#REF!</v>
      </c>
      <c r="CI4" s="2" t="e">
        <f>#REF!+"y@4!0T"</f>
        <v>#REF!</v>
      </c>
      <c r="CJ4" t="e">
        <f>#REF!+"y@4!0U"</f>
        <v>#REF!</v>
      </c>
      <c r="CK4" s="2" t="e">
        <f>#REF!+"y@4!0V"</f>
        <v>#REF!</v>
      </c>
      <c r="CL4" s="2" t="e">
        <f>#REF!+"y@4!0W"</f>
        <v>#REF!</v>
      </c>
      <c r="CM4" s="2" t="e">
        <f>#REF!+"y@4!0X"</f>
        <v>#REF!</v>
      </c>
      <c r="CN4" s="2" t="e">
        <f>#REF!+"y@4!0Y"</f>
        <v>#REF!</v>
      </c>
      <c r="CO4" t="e">
        <f>#REF!+"y@4!0Z"</f>
        <v>#REF!</v>
      </c>
      <c r="CP4" t="e">
        <f>#REF!+"y@4!0["</f>
        <v>#REF!</v>
      </c>
      <c r="CQ4" t="e">
        <f>#REF!+"y@4!0\"</f>
        <v>#REF!</v>
      </c>
      <c r="CR4" t="e">
        <f>#REF!+"y@4!0]"</f>
        <v>#REF!</v>
      </c>
      <c r="CS4" t="e">
        <f>#REF!+"y@4!0^"</f>
        <v>#REF!</v>
      </c>
      <c r="CT4" t="e">
        <f>#REF!+"y@4!0_"</f>
        <v>#REF!</v>
      </c>
      <c r="CU4" t="e">
        <f>#REF!+"y@4!0`"</f>
        <v>#REF!</v>
      </c>
      <c r="CV4" t="e">
        <f>#REF!+"y@4!0a"</f>
        <v>#REF!</v>
      </c>
      <c r="CW4" t="e">
        <f>#REF!+"y@4!0b"</f>
        <v>#REF!</v>
      </c>
      <c r="CX4" t="e">
        <f>#REF!+"y@4!0c"</f>
        <v>#REF!</v>
      </c>
      <c r="CY4" s="2" t="e">
        <f>#REF!+"y@4!0d"</f>
        <v>#REF!</v>
      </c>
      <c r="CZ4" t="e">
        <f>#REF!+"y@4!0e"</f>
        <v>#REF!</v>
      </c>
      <c r="DA4" s="2" t="e">
        <f>#REF!+"y@4!0f"</f>
        <v>#REF!</v>
      </c>
      <c r="DB4" s="2" t="e">
        <f>#REF!+"y@4!0g"</f>
        <v>#REF!</v>
      </c>
      <c r="DC4" s="2" t="e">
        <f>#REF!+"y@4!0h"</f>
        <v>#REF!</v>
      </c>
      <c r="DD4" s="2" t="e">
        <f>#REF!+"y@4!0i"</f>
        <v>#REF!</v>
      </c>
      <c r="DE4" t="e">
        <f>#REF!+"y@4!0j"</f>
        <v>#REF!</v>
      </c>
      <c r="DF4" t="e">
        <f>#REF!+"y@4!0k"</f>
        <v>#REF!</v>
      </c>
      <c r="DG4" t="e">
        <f>#REF!+"y@4!0l"</f>
        <v>#REF!</v>
      </c>
      <c r="DH4" t="e">
        <f>#REF!+"y@4!0m"</f>
        <v>#REF!</v>
      </c>
      <c r="DI4" t="e">
        <f>#REF!+"y@4!0n"</f>
        <v>#REF!</v>
      </c>
      <c r="DJ4" t="e">
        <f>#REF!+"y@4!0o"</f>
        <v>#REF!</v>
      </c>
      <c r="DK4" t="e">
        <f>#REF!+"y@4!0p"</f>
        <v>#REF!</v>
      </c>
      <c r="DL4" t="e">
        <f>#REF!+"y@4!0q"</f>
        <v>#REF!</v>
      </c>
      <c r="DM4" t="e">
        <f>#REF!+"y@4!0r"</f>
        <v>#REF!</v>
      </c>
      <c r="DN4" t="e">
        <f>#REF!+"y@4!0s"</f>
        <v>#REF!</v>
      </c>
      <c r="DO4" s="2" t="e">
        <f>#REF!+"y@4!0t"</f>
        <v>#REF!</v>
      </c>
      <c r="DP4" t="e">
        <f>#REF!+"y@4!0u"</f>
        <v>#REF!</v>
      </c>
      <c r="DQ4" s="2" t="e">
        <f>#REF!+"y@4!0v"</f>
        <v>#REF!</v>
      </c>
      <c r="DR4" s="2" t="e">
        <f>#REF!+"y@4!0w"</f>
        <v>#REF!</v>
      </c>
      <c r="DS4" s="2" t="e">
        <f>#REF!+"y@4!0x"</f>
        <v>#REF!</v>
      </c>
      <c r="DT4" s="2" t="e">
        <f>#REF!+"y@4!0y"</f>
        <v>#REF!</v>
      </c>
      <c r="DU4" t="e">
        <f>#REF!+"y@4!0z"</f>
        <v>#REF!</v>
      </c>
      <c r="DV4" t="e">
        <f>#REF!+"y@4!0{"</f>
        <v>#REF!</v>
      </c>
      <c r="DW4" t="e">
        <f>#REF!+"y@4!0|"</f>
        <v>#REF!</v>
      </c>
      <c r="DX4" t="e">
        <f>#REF!+"y@4!0}"</f>
        <v>#REF!</v>
      </c>
      <c r="DY4" t="e">
        <f>#REF!+"y@4!0~"</f>
        <v>#REF!</v>
      </c>
      <c r="DZ4" t="e">
        <f>#REF!+"y@4!1#"</f>
        <v>#REF!</v>
      </c>
      <c r="EA4" t="e">
        <f>#REF!+"y@4!1$"</f>
        <v>#REF!</v>
      </c>
      <c r="EB4" t="e">
        <f>#REF!+"y@4!1%"</f>
        <v>#REF!</v>
      </c>
      <c r="EC4" t="e">
        <f>#REF!+"y@4!1&amp;"</f>
        <v>#REF!</v>
      </c>
      <c r="ED4" t="e">
        <f>#REF!+"y@4!1'"</f>
        <v>#REF!</v>
      </c>
      <c r="EE4" s="2" t="e">
        <f>#REF!+"y@4!1("</f>
        <v>#REF!</v>
      </c>
      <c r="EF4" t="e">
        <f>#REF!+"y@4!1)"</f>
        <v>#REF!</v>
      </c>
      <c r="EG4" s="2" t="e">
        <f>#REF!+"y@4!1."</f>
        <v>#REF!</v>
      </c>
      <c r="EH4" s="2" t="e">
        <f>#REF!+"y@4!1/"</f>
        <v>#REF!</v>
      </c>
      <c r="EI4" s="2" t="e">
        <f>#REF!+"y@4!10"</f>
        <v>#REF!</v>
      </c>
      <c r="EJ4" s="2" t="e">
        <f>#REF!+"y@4!11"</f>
        <v>#REF!</v>
      </c>
      <c r="EK4" t="e">
        <f>#REF!+"y@4!12"</f>
        <v>#REF!</v>
      </c>
      <c r="EL4" t="e">
        <f>#REF!+"y@4!13"</f>
        <v>#REF!</v>
      </c>
      <c r="EM4" t="e">
        <f>#REF!+"y@4!14"</f>
        <v>#REF!</v>
      </c>
      <c r="EN4" t="e">
        <f>#REF!+"y@4!15"</f>
        <v>#REF!</v>
      </c>
      <c r="EO4" t="e">
        <f>#REF!+"y@4!16"</f>
        <v>#REF!</v>
      </c>
      <c r="EP4" t="e">
        <f>#REF!+"y@4!17"</f>
        <v>#REF!</v>
      </c>
      <c r="EQ4" t="e">
        <f>#REF!+"y@4!18"</f>
        <v>#REF!</v>
      </c>
      <c r="ER4" t="e">
        <f>#REF!+"y@4!19"</f>
        <v>#REF!</v>
      </c>
      <c r="ES4" t="e">
        <f>#REF!+"y@4!1:"</f>
        <v>#REF!</v>
      </c>
      <c r="ET4" t="e">
        <f>#REF!+"y@4!1;"</f>
        <v>#REF!</v>
      </c>
      <c r="EU4" s="2" t="e">
        <f>#REF!+"y@4!1&lt;"</f>
        <v>#REF!</v>
      </c>
      <c r="EV4" t="e">
        <f>#REF!+"y@4!1="</f>
        <v>#REF!</v>
      </c>
      <c r="EW4" s="2" t="e">
        <f>#REF!+"y@4!1&gt;"</f>
        <v>#REF!</v>
      </c>
      <c r="EX4" s="2" t="e">
        <f>#REF!+"y@4!1?"</f>
        <v>#REF!</v>
      </c>
      <c r="EY4" s="2" t="e">
        <f>#REF!+"y@4!1@"</f>
        <v>#REF!</v>
      </c>
      <c r="EZ4" s="2" t="e">
        <f>#REF!+"y@4!1A"</f>
        <v>#REF!</v>
      </c>
      <c r="FA4" t="e">
        <f>#REF!+"y@4!1B"</f>
        <v>#REF!</v>
      </c>
      <c r="FB4" t="e">
        <f>#REF!+"y@4!1C"</f>
        <v>#REF!</v>
      </c>
      <c r="FC4" t="e">
        <f>#REF!+"y@4!1D"</f>
        <v>#REF!</v>
      </c>
      <c r="FD4" t="e">
        <f>#REF!+"y@4!1E"</f>
        <v>#REF!</v>
      </c>
      <c r="FE4" t="e">
        <f>#REF!+"y@4!1F"</f>
        <v>#REF!</v>
      </c>
      <c r="FF4" t="e">
        <f>#REF!+"y@4!1G"</f>
        <v>#REF!</v>
      </c>
      <c r="FG4" t="e">
        <f>#REF!+"y@4!1H"</f>
        <v>#REF!</v>
      </c>
      <c r="FH4" t="e">
        <f>#REF!+"y@4!1I"</f>
        <v>#REF!</v>
      </c>
      <c r="FI4" t="e">
        <f>#REF!+"y@4!1J"</f>
        <v>#REF!</v>
      </c>
      <c r="FJ4" t="e">
        <f>#REF!+"y@4!1K"</f>
        <v>#REF!</v>
      </c>
      <c r="FK4" s="2" t="e">
        <f>#REF!+"y@4!1L"</f>
        <v>#REF!</v>
      </c>
      <c r="FL4" t="e">
        <f>#REF!+"y@4!1M"</f>
        <v>#REF!</v>
      </c>
      <c r="FM4" s="2" t="e">
        <f>#REF!+"y@4!1N"</f>
        <v>#REF!</v>
      </c>
      <c r="FN4" s="2" t="e">
        <f>#REF!+"y@4!1O"</f>
        <v>#REF!</v>
      </c>
      <c r="FO4" s="2" t="e">
        <f>#REF!+"y@4!1P"</f>
        <v>#REF!</v>
      </c>
      <c r="FP4" s="2" t="e">
        <f>#REF!+"y@4!1Q"</f>
        <v>#REF!</v>
      </c>
      <c r="FQ4" t="e">
        <f>#REF!+"y@4!1R"</f>
        <v>#REF!</v>
      </c>
      <c r="FR4" t="e">
        <f>#REF!+"y@4!1S"</f>
        <v>#REF!</v>
      </c>
      <c r="FS4" t="e">
        <f>#REF!+"y@4!1T"</f>
        <v>#REF!</v>
      </c>
      <c r="FT4" t="e">
        <f>#REF!+"y@4!1U"</f>
        <v>#REF!</v>
      </c>
      <c r="FU4" t="e">
        <f>#REF!+"y@4!1V"</f>
        <v>#REF!</v>
      </c>
      <c r="FV4" t="e">
        <f>#REF!+"y@4!1W"</f>
        <v>#REF!</v>
      </c>
      <c r="FW4" t="e">
        <f>#REF!+"y@4!1X"</f>
        <v>#REF!</v>
      </c>
      <c r="FX4" t="e">
        <f>#REF!+"y@4!1Y"</f>
        <v>#REF!</v>
      </c>
      <c r="FY4" t="e">
        <f>#REF!+"y@4!1Z"</f>
        <v>#REF!</v>
      </c>
      <c r="FZ4" t="e">
        <f>#REF!+"y@4!1["</f>
        <v>#REF!</v>
      </c>
      <c r="GA4" s="2" t="e">
        <f>#REF!+"y@4!1\"</f>
        <v>#REF!</v>
      </c>
      <c r="GB4" t="e">
        <f>#REF!+"y@4!1]"</f>
        <v>#REF!</v>
      </c>
      <c r="GC4" s="2" t="e">
        <f>#REF!+"y@4!1^"</f>
        <v>#REF!</v>
      </c>
      <c r="GD4" s="2" t="e">
        <f>#REF!+"y@4!1_"</f>
        <v>#REF!</v>
      </c>
      <c r="GE4" s="2" t="e">
        <f>#REF!+"y@4!1`"</f>
        <v>#REF!</v>
      </c>
      <c r="GF4" s="2" t="e">
        <f>#REF!+"y@4!1a"</f>
        <v>#REF!</v>
      </c>
      <c r="GG4" t="e">
        <f>#REF!+"y@4!1b"</f>
        <v>#REF!</v>
      </c>
      <c r="GH4" t="e">
        <f>#REF!+"y@4!1c"</f>
        <v>#REF!</v>
      </c>
      <c r="GI4" t="e">
        <f>#REF!+"y@4!1d"</f>
        <v>#REF!</v>
      </c>
      <c r="GJ4" t="e">
        <f>#REF!+"y@4!1e"</f>
        <v>#REF!</v>
      </c>
      <c r="GK4" t="e">
        <f>#REF!+"y@4!1f"</f>
        <v>#REF!</v>
      </c>
      <c r="GL4" t="e">
        <f>#REF!+"y@4!1g"</f>
        <v>#REF!</v>
      </c>
      <c r="GM4" t="e">
        <f>#REF!+"y@4!1h"</f>
        <v>#REF!</v>
      </c>
      <c r="GN4" t="e">
        <f>#REF!+"y@4!1i"</f>
        <v>#REF!</v>
      </c>
      <c r="GO4" t="e">
        <f>#REF!+"y@4!1j"</f>
        <v>#REF!</v>
      </c>
      <c r="GP4" t="e">
        <f>#REF!+"y@4!1k"</f>
        <v>#REF!</v>
      </c>
      <c r="GQ4" s="2" t="e">
        <f>#REF!+"y@4!1l"</f>
        <v>#REF!</v>
      </c>
      <c r="GR4" t="e">
        <f>#REF!+"y@4!1m"</f>
        <v>#REF!</v>
      </c>
      <c r="GS4" s="2" t="e">
        <f>#REF!+"y@4!1n"</f>
        <v>#REF!</v>
      </c>
      <c r="GT4" s="2" t="e">
        <f>#REF!+"y@4!1o"</f>
        <v>#REF!</v>
      </c>
      <c r="GU4" s="2" t="e">
        <f>#REF!+"y@4!1p"</f>
        <v>#REF!</v>
      </c>
      <c r="GV4" s="2" t="e">
        <f>#REF!+"y@4!1q"</f>
        <v>#REF!</v>
      </c>
      <c r="GW4" t="e">
        <f>#REF!+"y@4!1r"</f>
        <v>#REF!</v>
      </c>
      <c r="GX4" t="e">
        <f>#REF!+"y@4!1s"</f>
        <v>#REF!</v>
      </c>
      <c r="GY4" t="e">
        <f>#REF!+"y@4!1t"</f>
        <v>#REF!</v>
      </c>
      <c r="GZ4" t="e">
        <f>#REF!+"y@4!1u"</f>
        <v>#REF!</v>
      </c>
      <c r="HA4" t="e">
        <f>#REF!+"y@4!1v"</f>
        <v>#REF!</v>
      </c>
      <c r="HB4" t="e">
        <f>#REF!+"y@4!1w"</f>
        <v>#REF!</v>
      </c>
      <c r="HC4" t="e">
        <f>#REF!+"y@4!1x"</f>
        <v>#REF!</v>
      </c>
      <c r="HD4" t="e">
        <f>#REF!+"y@4!1y"</f>
        <v>#REF!</v>
      </c>
      <c r="HE4" t="e">
        <f>#REF!+"y@4!1z"</f>
        <v>#REF!</v>
      </c>
      <c r="HF4" t="e">
        <f>#REF!+"y@4!1{"</f>
        <v>#REF!</v>
      </c>
      <c r="HG4" s="2" t="e">
        <f>#REF!+"y@4!1|"</f>
        <v>#REF!</v>
      </c>
      <c r="HH4" t="e">
        <f>#REF!+"y@4!1}"</f>
        <v>#REF!</v>
      </c>
      <c r="HI4" s="2" t="e">
        <f>#REF!+"y@4!1~"</f>
        <v>#REF!</v>
      </c>
      <c r="HJ4" s="2" t="e">
        <f>#REF!+"y@4!2#"</f>
        <v>#REF!</v>
      </c>
      <c r="HK4" s="2" t="e">
        <f>#REF!+"y@4!2$"</f>
        <v>#REF!</v>
      </c>
      <c r="HL4" s="2" t="e">
        <f>#REF!+"y@4!2%"</f>
        <v>#REF!</v>
      </c>
      <c r="HM4" t="e">
        <f>#REF!+"y@4!2&amp;"</f>
        <v>#REF!</v>
      </c>
      <c r="HN4" t="e">
        <f>#REF!+"y@4!2'"</f>
        <v>#REF!</v>
      </c>
      <c r="HO4" t="e">
        <f>#REF!+"y@4!2("</f>
        <v>#REF!</v>
      </c>
      <c r="HP4" t="e">
        <f>#REF!+"y@4!2)"</f>
        <v>#REF!</v>
      </c>
      <c r="HQ4" t="e">
        <f>#REF!+"y@4!2."</f>
        <v>#REF!</v>
      </c>
      <c r="HR4" t="e">
        <f>#REF!+"y@4!2/"</f>
        <v>#REF!</v>
      </c>
      <c r="HS4" t="e">
        <f>#REF!+"y@4!20"</f>
        <v>#REF!</v>
      </c>
      <c r="HT4" t="e">
        <f>#REF!+"y@4!21"</f>
        <v>#REF!</v>
      </c>
      <c r="HU4" t="e">
        <f>#REF!+"y@4!22"</f>
        <v>#REF!</v>
      </c>
      <c r="HV4" t="e">
        <f>#REF!+"y@4!23"</f>
        <v>#REF!</v>
      </c>
      <c r="HW4" s="2" t="e">
        <f>#REF!+"y@4!24"</f>
        <v>#REF!</v>
      </c>
      <c r="HX4" t="e">
        <f>#REF!+"y@4!25"</f>
        <v>#REF!</v>
      </c>
      <c r="HY4" s="2" t="e">
        <f>#REF!+"y@4!26"</f>
        <v>#REF!</v>
      </c>
      <c r="HZ4" s="2" t="e">
        <f>#REF!+"y@4!27"</f>
        <v>#REF!</v>
      </c>
      <c r="IA4" s="2" t="e">
        <f>#REF!+"y@4!28"</f>
        <v>#REF!</v>
      </c>
      <c r="IB4" s="2" t="e">
        <f>#REF!+"y@4!29"</f>
        <v>#REF!</v>
      </c>
      <c r="IC4" t="e">
        <f>#REF!+"y@4!2:"</f>
        <v>#REF!</v>
      </c>
      <c r="ID4" t="e">
        <f>#REF!+"y@4!2;"</f>
        <v>#REF!</v>
      </c>
      <c r="IE4" t="e">
        <f>#REF!+"y@4!2&lt;"</f>
        <v>#REF!</v>
      </c>
      <c r="IF4" t="e">
        <f>#REF!+"y@4!2="</f>
        <v>#REF!</v>
      </c>
      <c r="IG4" t="e">
        <f>#REF!+"y@4!2&gt;"</f>
        <v>#REF!</v>
      </c>
      <c r="IH4" t="e">
        <f>#REF!+"y@4!2?"</f>
        <v>#REF!</v>
      </c>
      <c r="II4" t="e">
        <f>#REF!+"y@4!2@"</f>
        <v>#REF!</v>
      </c>
      <c r="IJ4" t="e">
        <f>#REF!+"y@4!2A"</f>
        <v>#REF!</v>
      </c>
      <c r="IK4" t="e">
        <f>#REF!+"y@4!2B"</f>
        <v>#REF!</v>
      </c>
      <c r="IL4" t="e">
        <f>#REF!+"y@4!2C"</f>
        <v>#REF!</v>
      </c>
      <c r="IM4" t="e">
        <f>#REF!+"y@4!2D"</f>
        <v>#REF!</v>
      </c>
      <c r="IN4" s="2" t="e">
        <f>#REF!+"y@4!2E"</f>
        <v>#REF!</v>
      </c>
      <c r="IO4" t="e">
        <f>#REF!+"y@4!2F"</f>
        <v>#REF!</v>
      </c>
      <c r="IP4" s="2" t="e">
        <f>#REF!+"y@4!2G"</f>
        <v>#REF!</v>
      </c>
      <c r="IQ4" s="2" t="e">
        <f>#REF!+"y@4!2H"</f>
        <v>#REF!</v>
      </c>
      <c r="IR4" s="2" t="e">
        <f>#REF!+"y@4!2I"</f>
        <v>#REF!</v>
      </c>
      <c r="IS4" s="2" t="e">
        <f>#REF!+"y@4!2J"</f>
        <v>#REF!</v>
      </c>
      <c r="IT4" t="e">
        <f>#REF!+"y@4!2K"</f>
        <v>#REF!</v>
      </c>
      <c r="IU4" t="e">
        <f>#REF!+"y@4!2L"</f>
        <v>#REF!</v>
      </c>
      <c r="IV4" t="e">
        <f>#REF!+"y@4!2M"</f>
        <v>#REF!</v>
      </c>
    </row>
    <row r="5" spans="1:256" x14ac:dyDescent="0.25">
      <c r="A5" t="s">
        <v>390</v>
      </c>
      <c r="F5" t="e">
        <f>#REF!+"y@4!2N"</f>
        <v>#REF!</v>
      </c>
      <c r="G5" t="e">
        <f>#REF!+"y@4!2O"</f>
        <v>#REF!</v>
      </c>
      <c r="H5" t="e">
        <f>#REF!+"y@4!2P"</f>
        <v>#REF!</v>
      </c>
      <c r="I5" t="e">
        <f>#REF!+"y@4!2Q"</f>
        <v>#REF!</v>
      </c>
      <c r="J5" t="e">
        <f>#REF!+"y@4!2R"</f>
        <v>#REF!</v>
      </c>
      <c r="K5" t="e">
        <f>#REF!+"y@4!2S"</f>
        <v>#REF!</v>
      </c>
      <c r="L5" t="e">
        <f>#REF!+"y@4!2T"</f>
        <v>#REF!</v>
      </c>
      <c r="M5" s="2" t="e">
        <f>#REF!+"y@4!2U"</f>
        <v>#REF!</v>
      </c>
      <c r="N5" t="e">
        <f>#REF!+"y@4!2V"</f>
        <v>#REF!</v>
      </c>
      <c r="O5" s="2" t="e">
        <f>#REF!+"y@4!2W"</f>
        <v>#REF!</v>
      </c>
      <c r="P5" s="2" t="e">
        <f>#REF!+"y@4!2X"</f>
        <v>#REF!</v>
      </c>
      <c r="Q5" s="2" t="e">
        <f>#REF!+"y@4!2Y"</f>
        <v>#REF!</v>
      </c>
      <c r="R5" s="2" t="e">
        <f>#REF!+"y@4!2Z"</f>
        <v>#REF!</v>
      </c>
      <c r="S5" t="e">
        <f>#REF!+"y@4!2["</f>
        <v>#REF!</v>
      </c>
      <c r="T5" t="e">
        <f>#REF!+"y@4!2\"</f>
        <v>#REF!</v>
      </c>
      <c r="U5" t="e">
        <f>#REF!+"y@4!2]"</f>
        <v>#REF!</v>
      </c>
      <c r="V5" t="e">
        <f>#REF!+"y@4!2^"</f>
        <v>#REF!</v>
      </c>
      <c r="W5" t="e">
        <f>#REF!+"y@4!2_"</f>
        <v>#REF!</v>
      </c>
      <c r="X5" t="e">
        <f>#REF!+"y@4!2`"</f>
        <v>#REF!</v>
      </c>
      <c r="Y5" t="e">
        <f>#REF!+"y@4!2a"</f>
        <v>#REF!</v>
      </c>
      <c r="Z5" t="e">
        <f>#REF!+"y@4!2b"</f>
        <v>#REF!</v>
      </c>
      <c r="AA5" t="e">
        <f>#REF!+"y@4!2c"</f>
        <v>#REF!</v>
      </c>
      <c r="AB5" t="e">
        <f>#REF!+"y@4!2d"</f>
        <v>#REF!</v>
      </c>
      <c r="AC5" s="2" t="e">
        <f>#REF!+"y@4!2e"</f>
        <v>#REF!</v>
      </c>
      <c r="AD5" t="e">
        <f>#REF!+"y@4!2f"</f>
        <v>#REF!</v>
      </c>
      <c r="AE5" s="2" t="e">
        <f>#REF!+"y@4!2g"</f>
        <v>#REF!</v>
      </c>
      <c r="AF5" s="2" t="e">
        <f>#REF!+"y@4!2h"</f>
        <v>#REF!</v>
      </c>
      <c r="AG5" s="2" t="e">
        <f>#REF!+"y@4!2i"</f>
        <v>#REF!</v>
      </c>
      <c r="AH5" s="2" t="e">
        <f>#REF!+"y@4!2j"</f>
        <v>#REF!</v>
      </c>
      <c r="AI5" t="e">
        <f>#REF!+"y@4!2k"</f>
        <v>#REF!</v>
      </c>
      <c r="AJ5" t="e">
        <f>#REF!+"y@4!2l"</f>
        <v>#REF!</v>
      </c>
      <c r="AK5" t="e">
        <f>#REF!+"y@4!2m"</f>
        <v>#REF!</v>
      </c>
      <c r="AL5" t="e">
        <f>#REF!+"y@4!2n"</f>
        <v>#REF!</v>
      </c>
      <c r="AM5" t="e">
        <f>#REF!+"y@4!2o"</f>
        <v>#REF!</v>
      </c>
      <c r="AN5" t="e">
        <f>#REF!+"y@4!2p"</f>
        <v>#REF!</v>
      </c>
      <c r="AO5" t="e">
        <f>#REF!+"y@4!2q"</f>
        <v>#REF!</v>
      </c>
      <c r="AP5" t="e">
        <f>#REF!+"y@4!2r"</f>
        <v>#REF!</v>
      </c>
      <c r="AQ5" t="e">
        <f>#REF!+"y@4!2s"</f>
        <v>#REF!</v>
      </c>
      <c r="AR5" t="e">
        <f>#REF!+"y@4!2t"</f>
        <v>#REF!</v>
      </c>
      <c r="AS5" s="2" t="e">
        <f>#REF!+"y@4!2u"</f>
        <v>#REF!</v>
      </c>
      <c r="AT5" t="e">
        <f>#REF!+"y@4!2v"</f>
        <v>#REF!</v>
      </c>
      <c r="AU5" s="2" t="e">
        <f>#REF!+"y@4!2w"</f>
        <v>#REF!</v>
      </c>
      <c r="AV5" s="2" t="e">
        <f>#REF!+"y@4!2x"</f>
        <v>#REF!</v>
      </c>
      <c r="AW5" s="2" t="e">
        <f>#REF!+"y@4!2y"</f>
        <v>#REF!</v>
      </c>
      <c r="AX5" s="2" t="e">
        <f>#REF!+"y@4!2z"</f>
        <v>#REF!</v>
      </c>
      <c r="AY5" t="e">
        <f>#REF!+"y@4!2{"</f>
        <v>#REF!</v>
      </c>
      <c r="AZ5" t="e">
        <f>#REF!+"y@4!2|"</f>
        <v>#REF!</v>
      </c>
      <c r="BA5" t="e">
        <f>#REF!+"y@4!2}"</f>
        <v>#REF!</v>
      </c>
      <c r="BB5" t="e">
        <f>#REF!+"y@4!2~"</f>
        <v>#REF!</v>
      </c>
      <c r="BC5" t="e">
        <f>#REF!+"y@4!3#"</f>
        <v>#REF!</v>
      </c>
      <c r="BD5" t="e">
        <f>#REF!+"y@4!3$"</f>
        <v>#REF!</v>
      </c>
      <c r="BE5" t="e">
        <f>#REF!+"y@4!3%"</f>
        <v>#REF!</v>
      </c>
      <c r="BF5" t="e">
        <f>#REF!+"y@4!3&amp;"</f>
        <v>#REF!</v>
      </c>
      <c r="BG5" t="e">
        <f>#REF!+"y@4!3'"</f>
        <v>#REF!</v>
      </c>
      <c r="BH5" t="e">
        <f>#REF!+"y@4!3("</f>
        <v>#REF!</v>
      </c>
      <c r="BI5" s="2" t="e">
        <f>#REF!+"y@4!3)"</f>
        <v>#REF!</v>
      </c>
      <c r="BJ5" t="e">
        <f>#REF!+"y@4!3."</f>
        <v>#REF!</v>
      </c>
      <c r="BK5" s="2" t="e">
        <f>#REF!+"y@4!3/"</f>
        <v>#REF!</v>
      </c>
      <c r="BL5" s="2" t="e">
        <f>#REF!+"y@4!30"</f>
        <v>#REF!</v>
      </c>
      <c r="BM5" s="2" t="e">
        <f>#REF!+"y@4!31"</f>
        <v>#REF!</v>
      </c>
      <c r="BN5" s="2" t="e">
        <f>#REF!+"y@4!32"</f>
        <v>#REF!</v>
      </c>
      <c r="BO5" t="e">
        <f>#REF!+"y@4!33"</f>
        <v>#REF!</v>
      </c>
      <c r="BP5" t="e">
        <f>#REF!+"y@4!34"</f>
        <v>#REF!</v>
      </c>
      <c r="BQ5" t="e">
        <f>#REF!+"y@4!35"</f>
        <v>#REF!</v>
      </c>
      <c r="BR5" t="e">
        <f>#REF!+"y@4!36"</f>
        <v>#REF!</v>
      </c>
      <c r="BS5" t="e">
        <f>#REF!+"y@4!37"</f>
        <v>#REF!</v>
      </c>
      <c r="BT5" t="e">
        <f>#REF!+"y@4!38"</f>
        <v>#REF!</v>
      </c>
      <c r="BU5" t="e">
        <f>#REF!+"y@4!39"</f>
        <v>#REF!</v>
      </c>
      <c r="BV5" t="e">
        <f>#REF!+"y@4!3:"</f>
        <v>#REF!</v>
      </c>
      <c r="BW5" t="e">
        <f>#REF!+"y@4!3;"</f>
        <v>#REF!</v>
      </c>
      <c r="BX5" t="e">
        <f>#REF!+"y@4!3&lt;"</f>
        <v>#REF!</v>
      </c>
      <c r="BY5" s="2" t="e">
        <f>#REF!+"y@4!3="</f>
        <v>#REF!</v>
      </c>
      <c r="BZ5" t="e">
        <f>#REF!+"y@4!3&gt;"</f>
        <v>#REF!</v>
      </c>
      <c r="CA5" s="2" t="e">
        <f>#REF!+"y@4!3?"</f>
        <v>#REF!</v>
      </c>
      <c r="CB5" s="2" t="e">
        <f>#REF!+"y@4!3@"</f>
        <v>#REF!</v>
      </c>
      <c r="CC5" s="2" t="e">
        <f>#REF!+"y@4!3A"</f>
        <v>#REF!</v>
      </c>
      <c r="CD5" s="2" t="e">
        <f>#REF!+"y@4!3B"</f>
        <v>#REF!</v>
      </c>
      <c r="CE5" t="e">
        <f>#REF!+"y@4!3C"</f>
        <v>#REF!</v>
      </c>
      <c r="CF5" t="e">
        <f>#REF!+"y@4!3D"</f>
        <v>#REF!</v>
      </c>
      <c r="CG5" t="e">
        <f>#REF!+"y@4!3E"</f>
        <v>#REF!</v>
      </c>
      <c r="CH5" t="e">
        <f>#REF!+"y@4!3F"</f>
        <v>#REF!</v>
      </c>
      <c r="CI5" t="e">
        <f>#REF!+"y@4!3G"</f>
        <v>#REF!</v>
      </c>
      <c r="CJ5" t="e">
        <f>#REF!+"y@4!3H"</f>
        <v>#REF!</v>
      </c>
      <c r="CK5" t="e">
        <f>#REF!+"y@4!3I"</f>
        <v>#REF!</v>
      </c>
      <c r="CL5" t="e">
        <f>#REF!+"y@4!3J"</f>
        <v>#REF!</v>
      </c>
      <c r="CM5" t="e">
        <f>#REF!+"y@4!3K"</f>
        <v>#REF!</v>
      </c>
      <c r="CN5" t="e">
        <f>#REF!+"y@4!3L"</f>
        <v>#REF!</v>
      </c>
      <c r="CO5" t="e">
        <f>#REF!+"y@4!3M"</f>
        <v>#REF!</v>
      </c>
      <c r="CP5" s="2" t="e">
        <f>#REF!+"y@4!3N"</f>
        <v>#REF!</v>
      </c>
      <c r="CQ5" t="e">
        <f>#REF!+"y@4!3O"</f>
        <v>#REF!</v>
      </c>
      <c r="CR5" s="2" t="e">
        <f>#REF!+"y@4!3P"</f>
        <v>#REF!</v>
      </c>
      <c r="CS5" s="2" t="e">
        <f>#REF!+"y@4!3Q"</f>
        <v>#REF!</v>
      </c>
      <c r="CT5" s="2" t="e">
        <f>#REF!+"y@4!3R"</f>
        <v>#REF!</v>
      </c>
      <c r="CU5" s="2" t="e">
        <f>#REF!+"y@4!3S"</f>
        <v>#REF!</v>
      </c>
      <c r="CV5" t="e">
        <f>#REF!+"y@4!3T"</f>
        <v>#REF!</v>
      </c>
      <c r="CW5" t="e">
        <f>#REF!+"y@4!3U"</f>
        <v>#REF!</v>
      </c>
      <c r="CX5" t="e">
        <f>#REF!+"y@4!3V"</f>
        <v>#REF!</v>
      </c>
      <c r="CY5" t="e">
        <f>#REF!+"y@4!3W"</f>
        <v>#REF!</v>
      </c>
      <c r="CZ5" t="e">
        <f>#REF!+"y@4!3X"</f>
        <v>#REF!</v>
      </c>
      <c r="DA5" t="e">
        <f>#REF!+"y@4!3Y"</f>
        <v>#REF!</v>
      </c>
      <c r="DB5" t="e">
        <f>#REF!+"y@4!3Z"</f>
        <v>#REF!</v>
      </c>
      <c r="DC5" t="e">
        <f>#REF!+"y@4!3["</f>
        <v>#REF!</v>
      </c>
      <c r="DD5" t="e">
        <f>#REF!+"y@4!3\"</f>
        <v>#REF!</v>
      </c>
      <c r="DE5" t="e">
        <f>#REF!+"y@4!3]"</f>
        <v>#REF!</v>
      </c>
      <c r="DF5" t="e">
        <f>#REF!+"y@4!3^"</f>
        <v>#REF!</v>
      </c>
      <c r="DG5" s="2" t="e">
        <f>#REF!+"y@4!3_"</f>
        <v>#REF!</v>
      </c>
      <c r="DH5" t="e">
        <f>#REF!+"y@4!3`"</f>
        <v>#REF!</v>
      </c>
      <c r="DI5" s="2" t="e">
        <f>#REF!+"y@4!3a"</f>
        <v>#REF!</v>
      </c>
      <c r="DJ5" s="2" t="e">
        <f>#REF!+"y@4!3b"</f>
        <v>#REF!</v>
      </c>
      <c r="DK5" s="2" t="e">
        <f>#REF!+"y@4!3c"</f>
        <v>#REF!</v>
      </c>
      <c r="DL5" s="2" t="e">
        <f>#REF!+"y@4!3d"</f>
        <v>#REF!</v>
      </c>
      <c r="DM5" t="e">
        <f>#REF!+"y@4!3e"</f>
        <v>#REF!</v>
      </c>
      <c r="DN5" t="e">
        <f>#REF!+"y@4!3f"</f>
        <v>#REF!</v>
      </c>
      <c r="DO5" t="e">
        <f>#REF!+"y@4!3g"</f>
        <v>#REF!</v>
      </c>
      <c r="DP5" t="e">
        <f>#REF!+"y@4!3h"</f>
        <v>#REF!</v>
      </c>
      <c r="DQ5" t="e">
        <f>#REF!+"y@4!3i"</f>
        <v>#REF!</v>
      </c>
      <c r="DR5" t="e">
        <f>#REF!+"y@4!3j"</f>
        <v>#REF!</v>
      </c>
      <c r="DS5" t="e">
        <f>#REF!+"y@4!3k"</f>
        <v>#REF!</v>
      </c>
      <c r="DT5" t="e">
        <f>#REF!+"y@4!3l"</f>
        <v>#REF!</v>
      </c>
      <c r="DU5" t="e">
        <f>#REF!+"y@4!3m"</f>
        <v>#REF!</v>
      </c>
      <c r="DV5" t="e">
        <f>#REF!+"y@4!3n"</f>
        <v>#REF!</v>
      </c>
      <c r="DW5" s="2" t="e">
        <f>#REF!+"y@4!3o"</f>
        <v>#REF!</v>
      </c>
      <c r="DX5" t="e">
        <f>#REF!+"y@4!3p"</f>
        <v>#REF!</v>
      </c>
      <c r="DY5" s="2" t="e">
        <f>#REF!+"y@4!3q"</f>
        <v>#REF!</v>
      </c>
      <c r="DZ5" s="2" t="e">
        <f>#REF!+"y@4!3r"</f>
        <v>#REF!</v>
      </c>
      <c r="EA5" s="2" t="e">
        <f>#REF!+"y@4!3s"</f>
        <v>#REF!</v>
      </c>
      <c r="EB5" s="2" t="e">
        <f>#REF!+"y@4!3t"</f>
        <v>#REF!</v>
      </c>
      <c r="EC5" t="e">
        <f>#REF!+"y@4!3u"</f>
        <v>#REF!</v>
      </c>
      <c r="ED5" t="e">
        <f>#REF!+"y@4!3v"</f>
        <v>#REF!</v>
      </c>
      <c r="EE5" t="e">
        <f>#REF!+"y@4!3w"</f>
        <v>#REF!</v>
      </c>
      <c r="EF5" t="e">
        <f>#REF!+"y@4!3x"</f>
        <v>#REF!</v>
      </c>
      <c r="EG5" t="e">
        <f>#REF!+"y@4!3y"</f>
        <v>#REF!</v>
      </c>
      <c r="EH5" t="e">
        <f>#REF!+"y@4!3z"</f>
        <v>#REF!</v>
      </c>
      <c r="EI5" t="e">
        <f>#REF!+"y@4!3{"</f>
        <v>#REF!</v>
      </c>
      <c r="EJ5" t="e">
        <f>#REF!+"y@4!3|"</f>
        <v>#REF!</v>
      </c>
      <c r="EK5" t="e">
        <f>#REF!+"y@4!3}"</f>
        <v>#REF!</v>
      </c>
      <c r="EL5" t="e">
        <f>#REF!+"y@4!3~"</f>
        <v>#REF!</v>
      </c>
      <c r="EM5" s="2" t="e">
        <f>#REF!+"y@4!4#"</f>
        <v>#REF!</v>
      </c>
      <c r="EN5" t="e">
        <f>#REF!+"y@4!4$"</f>
        <v>#REF!</v>
      </c>
      <c r="EO5" s="2" t="e">
        <f>#REF!+"y@4!4%"</f>
        <v>#REF!</v>
      </c>
      <c r="EP5" s="2" t="e">
        <f>#REF!+"y@4!4&amp;"</f>
        <v>#REF!</v>
      </c>
      <c r="EQ5" s="2" t="e">
        <f>#REF!+"y@4!4'"</f>
        <v>#REF!</v>
      </c>
      <c r="ER5" s="2" t="e">
        <f>#REF!+"y@4!4("</f>
        <v>#REF!</v>
      </c>
      <c r="ES5" t="e">
        <f>#REF!+"y@4!4)"</f>
        <v>#REF!</v>
      </c>
      <c r="ET5" t="e">
        <f>#REF!+"y@4!4."</f>
        <v>#REF!</v>
      </c>
      <c r="EU5" t="e">
        <f>#REF!+"y@4!4/"</f>
        <v>#REF!</v>
      </c>
      <c r="EV5" t="e">
        <f>#REF!+"y@4!40"</f>
        <v>#REF!</v>
      </c>
      <c r="EW5" t="e">
        <f>#REF!+"y@4!41"</f>
        <v>#REF!</v>
      </c>
      <c r="EX5" t="e">
        <f>#REF!+"y@4!42"</f>
        <v>#REF!</v>
      </c>
      <c r="EY5" t="e">
        <f>#REF!+"y@4!43"</f>
        <v>#REF!</v>
      </c>
      <c r="EZ5" t="e">
        <f>#REF!+"y@4!44"</f>
        <v>#REF!</v>
      </c>
      <c r="FA5" t="e">
        <f>#REF!+"y@4!45"</f>
        <v>#REF!</v>
      </c>
      <c r="FB5" t="e">
        <f>#REF!+"y@4!46"</f>
        <v>#REF!</v>
      </c>
      <c r="FC5" s="2" t="e">
        <f>#REF!+"y@4!47"</f>
        <v>#REF!</v>
      </c>
      <c r="FD5" t="e">
        <f>#REF!+"y@4!48"</f>
        <v>#REF!</v>
      </c>
      <c r="FE5" s="2" t="e">
        <f>#REF!+"y@4!49"</f>
        <v>#REF!</v>
      </c>
      <c r="FF5" s="2" t="e">
        <f>#REF!+"y@4!4:"</f>
        <v>#REF!</v>
      </c>
      <c r="FG5" s="2" t="e">
        <f>#REF!+"y@4!4;"</f>
        <v>#REF!</v>
      </c>
      <c r="FH5" s="2" t="e">
        <f>#REF!+"y@4!4&lt;"</f>
        <v>#REF!</v>
      </c>
      <c r="FI5" t="e">
        <f>#REF!+"y@4!4="</f>
        <v>#REF!</v>
      </c>
      <c r="FJ5" t="e">
        <f>#REF!+"y@4!4&gt;"</f>
        <v>#REF!</v>
      </c>
      <c r="FK5" t="e">
        <f>#REF!+"y@4!4?"</f>
        <v>#REF!</v>
      </c>
      <c r="FL5" t="e">
        <f>#REF!+"y@4!4@"</f>
        <v>#REF!</v>
      </c>
      <c r="FM5" t="e">
        <f>#REF!+"y@4!4A"</f>
        <v>#REF!</v>
      </c>
      <c r="FN5" t="e">
        <f>#REF!+"y@4!4B"</f>
        <v>#REF!</v>
      </c>
      <c r="FO5" t="e">
        <f>#REF!+"y@4!4C"</f>
        <v>#REF!</v>
      </c>
      <c r="FP5" t="e">
        <f>#REF!+"y@4!4D"</f>
        <v>#REF!</v>
      </c>
      <c r="FQ5" t="e">
        <f>#REF!+"y@4!4E"</f>
        <v>#REF!</v>
      </c>
      <c r="FR5" t="e">
        <f>#REF!+"y@4!4F"</f>
        <v>#REF!</v>
      </c>
      <c r="FS5" s="2" t="e">
        <f>#REF!+"y@4!4G"</f>
        <v>#REF!</v>
      </c>
      <c r="FT5" t="e">
        <f>#REF!+"y@4!4H"</f>
        <v>#REF!</v>
      </c>
      <c r="FU5" s="2" t="e">
        <f>#REF!+"y@4!4I"</f>
        <v>#REF!</v>
      </c>
      <c r="FV5" s="2" t="e">
        <f>#REF!+"y@4!4J"</f>
        <v>#REF!</v>
      </c>
      <c r="FW5" s="2" t="e">
        <f>#REF!+"y@4!4K"</f>
        <v>#REF!</v>
      </c>
      <c r="FX5" s="2" t="e">
        <f>#REF!+"y@4!4L"</f>
        <v>#REF!</v>
      </c>
      <c r="FY5" t="e">
        <f>#REF!+"y@4!4M"</f>
        <v>#REF!</v>
      </c>
      <c r="FZ5" t="e">
        <f>#REF!+"y@4!4N"</f>
        <v>#REF!</v>
      </c>
      <c r="GA5" t="e">
        <f>#REF!+"y@4!4O"</f>
        <v>#REF!</v>
      </c>
      <c r="GB5" t="e">
        <f>#REF!+"y@4!4P"</f>
        <v>#REF!</v>
      </c>
      <c r="GC5" t="e">
        <f>#REF!+"y@4!4Q"</f>
        <v>#REF!</v>
      </c>
      <c r="GD5" t="e">
        <f>#REF!+"y@4!4R"</f>
        <v>#REF!</v>
      </c>
      <c r="GE5" t="e">
        <f>#REF!+"y@4!4S"</f>
        <v>#REF!</v>
      </c>
      <c r="GF5" t="e">
        <f>#REF!+"y@4!4T"</f>
        <v>#REF!</v>
      </c>
      <c r="GG5" t="e">
        <f>#REF!+"y@4!4U"</f>
        <v>#REF!</v>
      </c>
      <c r="GH5" t="e">
        <f>#REF!+"y@4!4V"</f>
        <v>#REF!</v>
      </c>
      <c r="GI5" s="2" t="e">
        <f>#REF!+"y@4!4W"</f>
        <v>#REF!</v>
      </c>
      <c r="GJ5" t="e">
        <f>#REF!+"y@4!4X"</f>
        <v>#REF!</v>
      </c>
      <c r="GK5" s="2" t="e">
        <f>#REF!+"y@4!4Y"</f>
        <v>#REF!</v>
      </c>
      <c r="GL5" s="2" t="e">
        <f>#REF!+"y@4!4Z"</f>
        <v>#REF!</v>
      </c>
      <c r="GM5" s="2" t="e">
        <f>#REF!+"y@4!4["</f>
        <v>#REF!</v>
      </c>
      <c r="GN5" s="2" t="e">
        <f>#REF!+"y@4!4\"</f>
        <v>#REF!</v>
      </c>
      <c r="GO5" t="e">
        <f>#REF!+"y@4!4]"</f>
        <v>#REF!</v>
      </c>
      <c r="GP5" t="e">
        <f>#REF!+"y@4!4^"</f>
        <v>#REF!</v>
      </c>
      <c r="GQ5" t="e">
        <f>#REF!+"y@4!4_"</f>
        <v>#REF!</v>
      </c>
      <c r="GR5" t="e">
        <f>#REF!+"y@4!4`"</f>
        <v>#REF!</v>
      </c>
      <c r="GS5" t="e">
        <f>#REF!+"y@4!4a"</f>
        <v>#REF!</v>
      </c>
      <c r="GT5" t="e">
        <f>#REF!+"y@4!4b"</f>
        <v>#REF!</v>
      </c>
      <c r="GU5" t="e">
        <f>#REF!+"y@4!4c"</f>
        <v>#REF!</v>
      </c>
      <c r="GV5" t="e">
        <f>#REF!+"y@4!4d"</f>
        <v>#REF!</v>
      </c>
      <c r="GW5" t="e">
        <f>#REF!+"y@4!4e"</f>
        <v>#REF!</v>
      </c>
      <c r="GX5" t="e">
        <f>#REF!+"y@4!4f"</f>
        <v>#REF!</v>
      </c>
      <c r="GY5" s="2" t="e">
        <f>#REF!+"y@4!4g"</f>
        <v>#REF!</v>
      </c>
      <c r="GZ5" t="e">
        <f>#REF!+"y@4!4h"</f>
        <v>#REF!</v>
      </c>
      <c r="HA5" s="2" t="e">
        <f>#REF!+"y@4!4i"</f>
        <v>#REF!</v>
      </c>
      <c r="HB5" s="2" t="e">
        <f>#REF!+"y@4!4j"</f>
        <v>#REF!</v>
      </c>
      <c r="HC5" s="2" t="e">
        <f>#REF!+"y@4!4k"</f>
        <v>#REF!</v>
      </c>
      <c r="HD5" s="2" t="e">
        <f>#REF!+"y@4!4l"</f>
        <v>#REF!</v>
      </c>
      <c r="HE5" t="e">
        <f>#REF!+"y@4!4m"</f>
        <v>#REF!</v>
      </c>
      <c r="HF5" t="e">
        <f>#REF!+"y@4!4n"</f>
        <v>#REF!</v>
      </c>
      <c r="HG5" t="e">
        <f>#REF!+"y@4!4o"</f>
        <v>#REF!</v>
      </c>
      <c r="HH5" t="e">
        <f>#REF!+"y@4!4p"</f>
        <v>#REF!</v>
      </c>
      <c r="HI5" t="e">
        <f>#REF!+"y@4!4q"</f>
        <v>#REF!</v>
      </c>
      <c r="HJ5" t="e">
        <f>#REF!+"y@4!4r"</f>
        <v>#REF!</v>
      </c>
      <c r="HK5" t="e">
        <f>#REF!+"y@4!4s"</f>
        <v>#REF!</v>
      </c>
      <c r="HL5" t="e">
        <f>#REF!+"y@4!4t"</f>
        <v>#REF!</v>
      </c>
      <c r="HM5" t="e">
        <f>#REF!+"y@4!4u"</f>
        <v>#REF!</v>
      </c>
      <c r="HN5" t="e">
        <f>#REF!+"y@4!4v"</f>
        <v>#REF!</v>
      </c>
      <c r="HO5" s="2" t="e">
        <f>#REF!+"y@4!4w"</f>
        <v>#REF!</v>
      </c>
      <c r="HP5" t="e">
        <f>#REF!+"y@4!4x"</f>
        <v>#REF!</v>
      </c>
      <c r="HQ5" s="2" t="e">
        <f>#REF!+"y@4!4y"</f>
        <v>#REF!</v>
      </c>
      <c r="HR5" s="2" t="e">
        <f>#REF!+"y@4!4z"</f>
        <v>#REF!</v>
      </c>
      <c r="HS5" s="2" t="e">
        <f>#REF!+"y@4!4{"</f>
        <v>#REF!</v>
      </c>
      <c r="HT5" s="2" t="e">
        <f>#REF!+"y@4!4|"</f>
        <v>#REF!</v>
      </c>
      <c r="HU5" t="e">
        <f>#REF!+"y@4!4}"</f>
        <v>#REF!</v>
      </c>
      <c r="HV5" t="e">
        <f>#REF!+"y@4!4~"</f>
        <v>#REF!</v>
      </c>
      <c r="HW5" t="e">
        <f>#REF!+"y@4!5#"</f>
        <v>#REF!</v>
      </c>
      <c r="HX5" t="e">
        <f>#REF!+"y@4!5$"</f>
        <v>#REF!</v>
      </c>
      <c r="HY5" t="e">
        <f>#REF!+"y@4!5%"</f>
        <v>#REF!</v>
      </c>
      <c r="HZ5" t="e">
        <f>#REF!+"y@4!5&amp;"</f>
        <v>#REF!</v>
      </c>
      <c r="IA5" t="e">
        <f>#REF!+"y@4!5'"</f>
        <v>#REF!</v>
      </c>
      <c r="IB5" t="e">
        <f>#REF!+"y@4!5("</f>
        <v>#REF!</v>
      </c>
      <c r="IC5" t="e">
        <f>#REF!+"y@4!5)"</f>
        <v>#REF!</v>
      </c>
      <c r="ID5" t="e">
        <f>#REF!+"y@4!5."</f>
        <v>#REF!</v>
      </c>
      <c r="IE5" s="2" t="e">
        <f>#REF!+"y@4!5/"</f>
        <v>#REF!</v>
      </c>
      <c r="IF5" t="e">
        <f>#REF!+"y@4!50"</f>
        <v>#REF!</v>
      </c>
      <c r="IG5" s="2" t="e">
        <f>#REF!+"y@4!51"</f>
        <v>#REF!</v>
      </c>
      <c r="IH5" s="2" t="e">
        <f>#REF!+"y@4!52"</f>
        <v>#REF!</v>
      </c>
      <c r="II5" s="2" t="e">
        <f>#REF!+"y@4!53"</f>
        <v>#REF!</v>
      </c>
      <c r="IJ5" s="2" t="e">
        <f>#REF!+"y@4!54"</f>
        <v>#REF!</v>
      </c>
      <c r="IK5" t="e">
        <f>#REF!+"y@4!55"</f>
        <v>#REF!</v>
      </c>
      <c r="IL5" t="e">
        <f>#REF!+"y@4!56"</f>
        <v>#REF!</v>
      </c>
      <c r="IM5" t="e">
        <f>#REF!+"y@4!57"</f>
        <v>#REF!</v>
      </c>
      <c r="IN5" t="e">
        <f>#REF!+"y@4!58"</f>
        <v>#REF!</v>
      </c>
      <c r="IO5" t="e">
        <f>#REF!+"y@4!59"</f>
        <v>#REF!</v>
      </c>
      <c r="IP5" t="e">
        <f>#REF!+"y@4!5:"</f>
        <v>#REF!</v>
      </c>
      <c r="IQ5" t="e">
        <f>#REF!+"y@4!5;"</f>
        <v>#REF!</v>
      </c>
      <c r="IR5" t="e">
        <f>#REF!+"y@4!5&lt;"</f>
        <v>#REF!</v>
      </c>
      <c r="IS5" t="e">
        <f>#REF!+"y@4!5="</f>
        <v>#REF!</v>
      </c>
      <c r="IT5" t="e">
        <f>#REF!+"y@4!5&gt;"</f>
        <v>#REF!</v>
      </c>
      <c r="IU5" s="2" t="e">
        <f>#REF!+"y@4!5?"</f>
        <v>#REF!</v>
      </c>
      <c r="IV5" t="e">
        <f>#REF!+"y@4!5@"</f>
        <v>#REF!</v>
      </c>
    </row>
    <row r="6" spans="1:256" x14ac:dyDescent="0.25">
      <c r="F6" s="2" t="e">
        <f>#REF!+"y@4!5A"</f>
        <v>#REF!</v>
      </c>
      <c r="G6" s="2" t="e">
        <f>#REF!+"y@4!5B"</f>
        <v>#REF!</v>
      </c>
      <c r="H6" s="2" t="e">
        <f>#REF!+"y@4!5C"</f>
        <v>#REF!</v>
      </c>
      <c r="I6" s="2" t="e">
        <f>#REF!+"y@4!5D"</f>
        <v>#REF!</v>
      </c>
      <c r="J6" t="e">
        <f>#REF!+"y@4!5E"</f>
        <v>#REF!</v>
      </c>
      <c r="K6" t="e">
        <f>#REF!+"y@4!5F"</f>
        <v>#REF!</v>
      </c>
      <c r="L6" t="e">
        <f>#REF!+"y@4!5G"</f>
        <v>#REF!</v>
      </c>
      <c r="M6" t="e">
        <f>#REF!+"y@4!5H"</f>
        <v>#REF!</v>
      </c>
      <c r="N6" t="e">
        <f>#REF!+"y@4!5I"</f>
        <v>#REF!</v>
      </c>
      <c r="O6" t="e">
        <f>#REF!+"y@4!5J"</f>
        <v>#REF!</v>
      </c>
      <c r="P6" t="e">
        <f>#REF!+"y@4!5K"</f>
        <v>#REF!</v>
      </c>
      <c r="Q6" t="e">
        <f>#REF!+"y@4!5L"</f>
        <v>#REF!</v>
      </c>
      <c r="R6" t="e">
        <f>#REF!+"y@4!5M"</f>
        <v>#REF!</v>
      </c>
      <c r="S6" t="e">
        <f>#REF!+"y@4!5N"</f>
        <v>#REF!</v>
      </c>
      <c r="T6" s="2" t="e">
        <f>#REF!+"y@4!5O"</f>
        <v>#REF!</v>
      </c>
      <c r="U6" t="e">
        <f>#REF!+"y@4!5P"</f>
        <v>#REF!</v>
      </c>
      <c r="V6" s="2" t="e">
        <f>#REF!+"y@4!5Q"</f>
        <v>#REF!</v>
      </c>
      <c r="W6" s="2" t="e">
        <f>#REF!+"y@4!5R"</f>
        <v>#REF!</v>
      </c>
      <c r="X6" s="2" t="e">
        <f>#REF!+"y@4!5S"</f>
        <v>#REF!</v>
      </c>
      <c r="Y6" s="2" t="e">
        <f>#REF!+"y@4!5T"</f>
        <v>#REF!</v>
      </c>
      <c r="Z6" t="e">
        <f>#REF!+"y@4!5U"</f>
        <v>#REF!</v>
      </c>
      <c r="AA6" t="e">
        <f>#REF!+"y@4!5V"</f>
        <v>#REF!</v>
      </c>
      <c r="AB6" t="e">
        <f>#REF!+"y@4!5W"</f>
        <v>#REF!</v>
      </c>
      <c r="AC6" t="e">
        <f>#REF!+"y@4!5X"</f>
        <v>#REF!</v>
      </c>
      <c r="AD6" t="e">
        <f>#REF!+"y@4!5Y"</f>
        <v>#REF!</v>
      </c>
      <c r="AE6" t="e">
        <f>#REF!+"y@4!5Z"</f>
        <v>#REF!</v>
      </c>
      <c r="AF6" t="e">
        <f>#REF!+"y@4!5["</f>
        <v>#REF!</v>
      </c>
      <c r="AG6" t="e">
        <f>#REF!+"y@4!5\"</f>
        <v>#REF!</v>
      </c>
      <c r="AH6" t="e">
        <f>#REF!+"y@4!5]"</f>
        <v>#REF!</v>
      </c>
      <c r="AI6" t="e">
        <f>#REF!+"y@4!5^"</f>
        <v>#REF!</v>
      </c>
      <c r="AJ6" s="2" t="e">
        <f>#REF!+"y@4!5_"</f>
        <v>#REF!</v>
      </c>
      <c r="AK6" t="e">
        <f>#REF!+"y@4!5`"</f>
        <v>#REF!</v>
      </c>
      <c r="AL6" s="2" t="e">
        <f>#REF!+"y@4!5a"</f>
        <v>#REF!</v>
      </c>
      <c r="AM6" s="2" t="e">
        <f>#REF!+"y@4!5b"</f>
        <v>#REF!</v>
      </c>
      <c r="AN6" s="2" t="e">
        <f>#REF!+"y@4!5c"</f>
        <v>#REF!</v>
      </c>
      <c r="AO6" s="2" t="e">
        <f>#REF!+"y@4!5d"</f>
        <v>#REF!</v>
      </c>
      <c r="AP6" t="e">
        <f>#REF!+"y@4!5e"</f>
        <v>#REF!</v>
      </c>
      <c r="AQ6" t="e">
        <f>#REF!+"y@4!5f"</f>
        <v>#REF!</v>
      </c>
      <c r="AR6" t="e">
        <f>#REF!+"y@4!5g"</f>
        <v>#REF!</v>
      </c>
      <c r="AS6" t="e">
        <f>#REF!+"y@4!5h"</f>
        <v>#REF!</v>
      </c>
      <c r="AT6" t="e">
        <f>#REF!+"y@4!5i"</f>
        <v>#REF!</v>
      </c>
      <c r="AU6" t="e">
        <f>#REF!+"y@4!5j"</f>
        <v>#REF!</v>
      </c>
      <c r="AV6" t="e">
        <f>#REF!+"y@4!5k"</f>
        <v>#REF!</v>
      </c>
      <c r="AW6" t="e">
        <f>#REF!+"y@4!5l"</f>
        <v>#REF!</v>
      </c>
      <c r="AX6" t="e">
        <f>#REF!+"y@4!5m"</f>
        <v>#REF!</v>
      </c>
      <c r="AY6" t="e">
        <f>#REF!+"y@4!5n"</f>
        <v>#REF!</v>
      </c>
      <c r="AZ6" s="2" t="e">
        <f>#REF!+"y@4!5o"</f>
        <v>#REF!</v>
      </c>
      <c r="BA6" t="e">
        <f>#REF!+"y@4!5p"</f>
        <v>#REF!</v>
      </c>
      <c r="BB6" s="2" t="e">
        <f>#REF!+"y@4!5q"</f>
        <v>#REF!</v>
      </c>
      <c r="BC6" s="2" t="e">
        <f>#REF!+"y@4!5r"</f>
        <v>#REF!</v>
      </c>
      <c r="BD6" s="2" t="e">
        <f>#REF!+"y@4!5s"</f>
        <v>#REF!</v>
      </c>
      <c r="BE6" s="2" t="e">
        <f>#REF!+"y@4!5t"</f>
        <v>#REF!</v>
      </c>
      <c r="BF6" t="e">
        <f>#REF!+"y@4!5u"</f>
        <v>#REF!</v>
      </c>
      <c r="BG6" t="e">
        <f>#REF!+"y@4!5v"</f>
        <v>#REF!</v>
      </c>
      <c r="BH6" t="e">
        <f>#REF!+"y@4!5w"</f>
        <v>#REF!</v>
      </c>
      <c r="BI6" t="e">
        <f>#REF!+"y@4!5x"</f>
        <v>#REF!</v>
      </c>
      <c r="BJ6" t="e">
        <f>#REF!+"y@4!5y"</f>
        <v>#REF!</v>
      </c>
      <c r="BK6" t="e">
        <f>#REF!+"y@4!5z"</f>
        <v>#REF!</v>
      </c>
      <c r="BL6" t="e">
        <f>#REF!+"y@4!5{"</f>
        <v>#REF!</v>
      </c>
      <c r="BM6" t="e">
        <f>#REF!+"y@4!5|"</f>
        <v>#REF!</v>
      </c>
      <c r="BN6" t="e">
        <f>#REF!+"y@4!5}"</f>
        <v>#REF!</v>
      </c>
      <c r="BO6" t="e">
        <f>#REF!+"y@4!5~"</f>
        <v>#REF!</v>
      </c>
      <c r="BP6" s="2" t="e">
        <f>#REF!+"y@4!6#"</f>
        <v>#REF!</v>
      </c>
      <c r="BQ6" t="e">
        <f>#REF!+"y@4!6$"</f>
        <v>#REF!</v>
      </c>
      <c r="BR6" s="2" t="e">
        <f>#REF!+"y@4!6%"</f>
        <v>#REF!</v>
      </c>
      <c r="BS6" s="2" t="e">
        <f>#REF!+"y@4!6&amp;"</f>
        <v>#REF!</v>
      </c>
      <c r="BT6" s="2" t="e">
        <f>#REF!+"y@4!6'"</f>
        <v>#REF!</v>
      </c>
      <c r="BU6" s="2" t="e">
        <f>#REF!+"y@4!6("</f>
        <v>#REF!</v>
      </c>
      <c r="BV6" t="e">
        <f>#REF!+"y@4!6)"</f>
        <v>#REF!</v>
      </c>
      <c r="BW6" t="e">
        <f>#REF!+"y@4!6."</f>
        <v>#REF!</v>
      </c>
      <c r="BX6" t="e">
        <f>#REF!+"y@4!6/"</f>
        <v>#REF!</v>
      </c>
      <c r="BY6" t="e">
        <f>#REF!+"y@4!60"</f>
        <v>#REF!</v>
      </c>
      <c r="BZ6" t="e">
        <f>#REF!+"y@4!61"</f>
        <v>#REF!</v>
      </c>
      <c r="CA6" t="e">
        <f>#REF!+"y@4!62"</f>
        <v>#REF!</v>
      </c>
      <c r="CB6" t="e">
        <f>#REF!+"y@4!63"</f>
        <v>#REF!</v>
      </c>
      <c r="CC6" t="e">
        <f>#REF!+"y@4!64"</f>
        <v>#REF!</v>
      </c>
      <c r="CD6" t="e">
        <f>#REF!+"y@4!65"</f>
        <v>#REF!</v>
      </c>
      <c r="CE6" t="e">
        <f>#REF!+"y@4!66"</f>
        <v>#REF!</v>
      </c>
      <c r="CF6" s="2" t="e">
        <f>#REF!+"y@4!67"</f>
        <v>#REF!</v>
      </c>
      <c r="CG6" t="e">
        <f>#REF!+"y@4!68"</f>
        <v>#REF!</v>
      </c>
      <c r="CH6" s="2" t="e">
        <f>#REF!+"y@4!69"</f>
        <v>#REF!</v>
      </c>
      <c r="CI6" s="2" t="e">
        <f>#REF!+"y@4!6:"</f>
        <v>#REF!</v>
      </c>
      <c r="CJ6" s="2" t="e">
        <f>#REF!+"y@4!6;"</f>
        <v>#REF!</v>
      </c>
      <c r="CK6" s="2" t="e">
        <f>#REF!+"y@4!6&lt;"</f>
        <v>#REF!</v>
      </c>
      <c r="CL6" t="e">
        <f>#REF!+"y@4!6="</f>
        <v>#REF!</v>
      </c>
      <c r="CM6" t="e">
        <f>#REF!+"y@4!6&gt;"</f>
        <v>#REF!</v>
      </c>
      <c r="CN6" t="e">
        <f>#REF!+"y@4!6?"</f>
        <v>#REF!</v>
      </c>
      <c r="CO6" t="e">
        <f>#REF!+"y@4!6@"</f>
        <v>#REF!</v>
      </c>
      <c r="CP6" t="e">
        <f>#REF!+"y@4!6A"</f>
        <v>#REF!</v>
      </c>
      <c r="CQ6" t="e">
        <f>#REF!+"y@4!6B"</f>
        <v>#REF!</v>
      </c>
      <c r="CR6" t="e">
        <f>#REF!+"y@4!6C"</f>
        <v>#REF!</v>
      </c>
      <c r="CS6" t="e">
        <f>#REF!+"y@4!6D"</f>
        <v>#REF!</v>
      </c>
      <c r="CT6" t="e">
        <f>#REF!+"y@4!6E"</f>
        <v>#REF!</v>
      </c>
      <c r="CU6" t="e">
        <f>#REF!+"y@4!6F"</f>
        <v>#REF!</v>
      </c>
      <c r="CV6" s="2" t="e">
        <f>#REF!+"y@4!6G"</f>
        <v>#REF!</v>
      </c>
      <c r="CW6" t="e">
        <f>#REF!+"y@4!6H"</f>
        <v>#REF!</v>
      </c>
      <c r="CX6" s="2" t="e">
        <f>#REF!+"y@4!6I"</f>
        <v>#REF!</v>
      </c>
      <c r="CY6" s="2" t="e">
        <f>#REF!+"y@4!6J"</f>
        <v>#REF!</v>
      </c>
      <c r="CZ6" s="2" t="e">
        <f>#REF!+"y@4!6K"</f>
        <v>#REF!</v>
      </c>
      <c r="DA6" s="2" t="e">
        <f>#REF!+"y@4!6L"</f>
        <v>#REF!</v>
      </c>
      <c r="DB6" t="e">
        <f>#REF!+"y@4!6M"</f>
        <v>#REF!</v>
      </c>
      <c r="DC6" t="e">
        <f>#REF!+"y@4!6N"</f>
        <v>#REF!</v>
      </c>
      <c r="DD6" t="e">
        <f>#REF!+"y@4!6O"</f>
        <v>#REF!</v>
      </c>
      <c r="DE6" t="e">
        <f>#REF!+"y@4!6P"</f>
        <v>#REF!</v>
      </c>
      <c r="DF6" t="e">
        <f>#REF!+"y@4!6Q"</f>
        <v>#REF!</v>
      </c>
      <c r="DG6" t="e">
        <f>#REF!+"y@4!6R"</f>
        <v>#REF!</v>
      </c>
      <c r="DH6" t="e">
        <f>#REF!+"y@4!6S"</f>
        <v>#REF!</v>
      </c>
      <c r="DI6" t="e">
        <f>#REF!+"y@4!6T"</f>
        <v>#REF!</v>
      </c>
      <c r="DJ6" t="e">
        <f>#REF!+"y@4!6U"</f>
        <v>#REF!</v>
      </c>
      <c r="DK6" t="e">
        <f>#REF!+"y@4!6V"</f>
        <v>#REF!</v>
      </c>
      <c r="DL6" s="2" t="e">
        <f>#REF!+"y@4!6W"</f>
        <v>#REF!</v>
      </c>
      <c r="DM6" t="e">
        <f>#REF!+"y@4!6X"</f>
        <v>#REF!</v>
      </c>
      <c r="DN6" s="2" t="e">
        <f>#REF!+"y@4!6Y"</f>
        <v>#REF!</v>
      </c>
      <c r="DO6" s="2" t="e">
        <f>#REF!+"y@4!6Z"</f>
        <v>#REF!</v>
      </c>
      <c r="DP6" s="2" t="e">
        <f>#REF!+"y@4!6["</f>
        <v>#REF!</v>
      </c>
      <c r="DQ6" s="2" t="e">
        <f>#REF!+"y@4!6\"</f>
        <v>#REF!</v>
      </c>
      <c r="DR6" t="e">
        <f>#REF!+"y@4!6]"</f>
        <v>#REF!</v>
      </c>
      <c r="DS6" t="e">
        <f>#REF!+"y@4!6^"</f>
        <v>#REF!</v>
      </c>
      <c r="DT6" t="e">
        <f>#REF!+"y@4!6_"</f>
        <v>#REF!</v>
      </c>
      <c r="DU6" t="e">
        <f>#REF!+"y@4!6`"</f>
        <v>#REF!</v>
      </c>
      <c r="DV6" t="e">
        <f>#REF!+"y@4!6a"</f>
        <v>#REF!</v>
      </c>
      <c r="DW6" t="e">
        <f>#REF!+"y@4!6b"</f>
        <v>#REF!</v>
      </c>
      <c r="DX6" t="e">
        <f>#REF!+"y@4!6c"</f>
        <v>#REF!</v>
      </c>
      <c r="DY6" t="e">
        <f>#REF!+"y@4!6d"</f>
        <v>#REF!</v>
      </c>
      <c r="DZ6" t="e">
        <f>#REF!+"y@4!6e"</f>
        <v>#REF!</v>
      </c>
      <c r="EA6" t="e">
        <f>#REF!+"y@4!6f"</f>
        <v>#REF!</v>
      </c>
      <c r="EB6" s="2" t="e">
        <f>#REF!+"y@4!6g"</f>
        <v>#REF!</v>
      </c>
      <c r="EC6" t="e">
        <f>#REF!+"y@4!6h"</f>
        <v>#REF!</v>
      </c>
      <c r="ED6" s="2" t="e">
        <f>#REF!+"y@4!6i"</f>
        <v>#REF!</v>
      </c>
      <c r="EE6" s="2" t="e">
        <f>#REF!+"y@4!6j"</f>
        <v>#REF!</v>
      </c>
      <c r="EF6" s="2" t="e">
        <f>#REF!+"y@4!6k"</f>
        <v>#REF!</v>
      </c>
      <c r="EG6" s="2" t="e">
        <f>#REF!+"y@4!6l"</f>
        <v>#REF!</v>
      </c>
      <c r="EH6" t="e">
        <f>#REF!+"y@4!6m"</f>
        <v>#REF!</v>
      </c>
      <c r="EI6" t="e">
        <f>#REF!+"y@4!6n"</f>
        <v>#REF!</v>
      </c>
      <c r="EJ6" t="e">
        <f>#REF!+"y@4!6o"</f>
        <v>#REF!</v>
      </c>
      <c r="EK6" t="e">
        <f>#REF!+"y@4!6p"</f>
        <v>#REF!</v>
      </c>
      <c r="EL6" t="e">
        <f>#REF!+"y@4!6q"</f>
        <v>#REF!</v>
      </c>
      <c r="EM6" t="e">
        <f>#REF!+"y@4!6r"</f>
        <v>#REF!</v>
      </c>
      <c r="EN6" t="e">
        <f>#REF!+"y@4!6s"</f>
        <v>#REF!</v>
      </c>
      <c r="EO6" t="e">
        <f>#REF!+"y@4!6t"</f>
        <v>#REF!</v>
      </c>
      <c r="EP6" t="e">
        <f>#REF!+"y@4!6u"</f>
        <v>#REF!</v>
      </c>
      <c r="EQ6" t="e">
        <f>#REF!+"y@4!6v"</f>
        <v>#REF!</v>
      </c>
      <c r="ER6" s="2" t="e">
        <f>#REF!+"y@4!6w"</f>
        <v>#REF!</v>
      </c>
      <c r="ES6" t="e">
        <f>#REF!+"y@4!6x"</f>
        <v>#REF!</v>
      </c>
      <c r="ET6" s="2" t="e">
        <f>#REF!+"y@4!6y"</f>
        <v>#REF!</v>
      </c>
      <c r="EU6" s="2" t="e">
        <f>#REF!+"y@4!6z"</f>
        <v>#REF!</v>
      </c>
      <c r="EV6" s="2" t="e">
        <f>#REF!+"y@4!6{"</f>
        <v>#REF!</v>
      </c>
      <c r="EW6" s="2" t="e">
        <f>#REF!+"y@4!6|"</f>
        <v>#REF!</v>
      </c>
      <c r="EX6" t="e">
        <f>#REF!+"y@4!6}"</f>
        <v>#REF!</v>
      </c>
      <c r="EY6" t="e">
        <f>#REF!+"y@4!6~"</f>
        <v>#REF!</v>
      </c>
      <c r="EZ6" t="e">
        <f>#REF!+"y@4!7#"</f>
        <v>#REF!</v>
      </c>
      <c r="FA6" t="e">
        <f>#REF!+"y@4!7$"</f>
        <v>#REF!</v>
      </c>
      <c r="FB6" t="e">
        <f>#REF!+"y@4!7%"</f>
        <v>#REF!</v>
      </c>
      <c r="FC6" t="e">
        <f>#REF!+"y@4!7&amp;"</f>
        <v>#REF!</v>
      </c>
      <c r="FD6" t="e">
        <f>#REF!+"y@4!7'"</f>
        <v>#REF!</v>
      </c>
      <c r="FE6" t="e">
        <f>#REF!+"y@4!7("</f>
        <v>#REF!</v>
      </c>
      <c r="FF6" t="e">
        <f>#REF!+"y@4!7)"</f>
        <v>#REF!</v>
      </c>
      <c r="FG6" t="e">
        <f>#REF!+"y@4!7."</f>
        <v>#REF!</v>
      </c>
      <c r="FH6" s="2" t="e">
        <f>#REF!+"y@4!7/"</f>
        <v>#REF!</v>
      </c>
      <c r="FI6" t="e">
        <f>#REF!+"y@4!70"</f>
        <v>#REF!</v>
      </c>
      <c r="FJ6" s="2" t="e">
        <f>#REF!+"y@4!71"</f>
        <v>#REF!</v>
      </c>
      <c r="FK6" s="2" t="e">
        <f>#REF!+"y@4!72"</f>
        <v>#REF!</v>
      </c>
      <c r="FL6" s="2" t="e">
        <f>#REF!+"y@4!73"</f>
        <v>#REF!</v>
      </c>
      <c r="FM6" s="2" t="e">
        <f>#REF!+"y@4!74"</f>
        <v>#REF!</v>
      </c>
      <c r="FN6" t="e">
        <f>#REF!+"y@4!75"</f>
        <v>#REF!</v>
      </c>
      <c r="FO6" t="e">
        <f>#REF!+"y@4!76"</f>
        <v>#REF!</v>
      </c>
      <c r="FP6" t="e">
        <f>#REF!+"y@4!77"</f>
        <v>#REF!</v>
      </c>
      <c r="FQ6" t="e">
        <f>#REF!+"y@4!78"</f>
        <v>#REF!</v>
      </c>
      <c r="FR6" t="e">
        <f>#REF!+"y@4!79"</f>
        <v>#REF!</v>
      </c>
      <c r="FS6" t="e">
        <f>#REF!+"y@4!7:"</f>
        <v>#REF!</v>
      </c>
      <c r="FT6" t="e">
        <f>#REF!+"y@4!7;"</f>
        <v>#REF!</v>
      </c>
      <c r="FU6" t="e">
        <f>#REF!+"y@4!7&lt;"</f>
        <v>#REF!</v>
      </c>
      <c r="FV6" t="e">
        <f>#REF!+"y@4!7="</f>
        <v>#REF!</v>
      </c>
      <c r="FW6" t="e">
        <f>#REF!+"y@4!7&gt;"</f>
        <v>#REF!</v>
      </c>
      <c r="FX6" s="2" t="e">
        <f>#REF!+"y@4!7?"</f>
        <v>#REF!</v>
      </c>
      <c r="FY6" t="e">
        <f>#REF!+"y@4!7@"</f>
        <v>#REF!</v>
      </c>
      <c r="FZ6" s="2" t="e">
        <f>#REF!+"y@4!7A"</f>
        <v>#REF!</v>
      </c>
      <c r="GA6" s="2" t="e">
        <f>#REF!+"y@4!7B"</f>
        <v>#REF!</v>
      </c>
      <c r="GB6" s="2" t="e">
        <f>#REF!+"y@4!7C"</f>
        <v>#REF!</v>
      </c>
      <c r="GC6" s="2" t="e">
        <f>#REF!+"y@4!7D"</f>
        <v>#REF!</v>
      </c>
      <c r="GD6" t="e">
        <f>#REF!+"y@4!7E"</f>
        <v>#REF!</v>
      </c>
      <c r="GE6" t="e">
        <f>#REF!+"y@4!7F"</f>
        <v>#REF!</v>
      </c>
      <c r="GF6" t="e">
        <f>#REF!+"y@4!7G"</f>
        <v>#REF!</v>
      </c>
      <c r="GG6" t="e">
        <f>#REF!+"y@4!7H"</f>
        <v>#REF!</v>
      </c>
      <c r="GH6" t="e">
        <f>#REF!+"y@4!7I"</f>
        <v>#REF!</v>
      </c>
      <c r="GI6" t="e">
        <f>#REF!+"y@4!7J"</f>
        <v>#REF!</v>
      </c>
      <c r="GJ6" t="e">
        <f>#REF!+"y@4!7K"</f>
        <v>#REF!</v>
      </c>
      <c r="GK6" t="e">
        <f>#REF!+"y@4!7L"</f>
        <v>#REF!</v>
      </c>
      <c r="GL6" t="e">
        <f>#REF!+"y@4!7M"</f>
        <v>#REF!</v>
      </c>
      <c r="GM6" t="e">
        <f>#REF!+"y@4!7N"</f>
        <v>#REF!</v>
      </c>
      <c r="GN6" s="2" t="e">
        <f>#REF!+"y@4!7O"</f>
        <v>#REF!</v>
      </c>
      <c r="GO6" t="e">
        <f>#REF!+"y@4!7P"</f>
        <v>#REF!</v>
      </c>
      <c r="GP6" s="2" t="e">
        <f>#REF!+"y@4!7Q"</f>
        <v>#REF!</v>
      </c>
      <c r="GQ6" s="2" t="e">
        <f>#REF!+"y@4!7R"</f>
        <v>#REF!</v>
      </c>
      <c r="GR6" s="2" t="e">
        <f>#REF!+"y@4!7S"</f>
        <v>#REF!</v>
      </c>
      <c r="GS6" s="2" t="e">
        <f>#REF!+"y@4!7T"</f>
        <v>#REF!</v>
      </c>
      <c r="GT6" t="e">
        <f>#REF!+"y@4!7U"</f>
        <v>#REF!</v>
      </c>
      <c r="GU6" t="e">
        <f>#REF!+"y@4!7V"</f>
        <v>#REF!</v>
      </c>
      <c r="GV6" t="e">
        <f>#REF!+"y@4!7W"</f>
        <v>#REF!</v>
      </c>
      <c r="GW6" t="e">
        <f>#REF!+"y@4!7X"</f>
        <v>#REF!</v>
      </c>
      <c r="GX6" t="e">
        <f>#REF!+"y@4!7Y"</f>
        <v>#REF!</v>
      </c>
      <c r="GY6" t="e">
        <f>#REF!+"y@4!7Z"</f>
        <v>#REF!</v>
      </c>
      <c r="GZ6" t="e">
        <f>#REF!+"y@4!7["</f>
        <v>#REF!</v>
      </c>
      <c r="HA6" t="e">
        <f>#REF!+"y@4!7\"</f>
        <v>#REF!</v>
      </c>
      <c r="HB6" t="e">
        <f>#REF!+"y@4!7]"</f>
        <v>#REF!</v>
      </c>
      <c r="HC6" t="e">
        <f>#REF!+"y@4!7^"</f>
        <v>#REF!</v>
      </c>
      <c r="HD6" s="2" t="e">
        <f>#REF!+"y@4!7_"</f>
        <v>#REF!</v>
      </c>
      <c r="HE6" t="e">
        <f>#REF!+"y@4!7`"</f>
        <v>#REF!</v>
      </c>
      <c r="HF6" s="2" t="e">
        <f>#REF!+"y@4!7a"</f>
        <v>#REF!</v>
      </c>
      <c r="HG6" s="2" t="e">
        <f>#REF!+"y@4!7b"</f>
        <v>#REF!</v>
      </c>
      <c r="HH6" s="2" t="e">
        <f>#REF!+"y@4!7c"</f>
        <v>#REF!</v>
      </c>
      <c r="HI6" s="2" t="e">
        <f>#REF!+"y@4!7d"</f>
        <v>#REF!</v>
      </c>
      <c r="HJ6" t="e">
        <f>#REF!+"y@4!7e"</f>
        <v>#REF!</v>
      </c>
      <c r="HK6" t="e">
        <f>#REF!+"y@4!7f"</f>
        <v>#REF!</v>
      </c>
      <c r="HL6" t="e">
        <f>#REF!+"y@4!7g"</f>
        <v>#REF!</v>
      </c>
      <c r="HM6" t="e">
        <f>#REF!+"y@4!7h"</f>
        <v>#REF!</v>
      </c>
      <c r="HN6" t="e">
        <f>#REF!+"y@4!7i"</f>
        <v>#REF!</v>
      </c>
      <c r="HO6" t="e">
        <f>#REF!+"y@4!7j"</f>
        <v>#REF!</v>
      </c>
      <c r="HP6" t="e">
        <f>#REF!+"y@4!7k"</f>
        <v>#REF!</v>
      </c>
      <c r="HQ6" t="e">
        <f>#REF!+"y@4!7l"</f>
        <v>#REF!</v>
      </c>
      <c r="HR6" t="e">
        <f>#REF!+"y@4!7m"</f>
        <v>#REF!</v>
      </c>
      <c r="HS6" t="e">
        <f>#REF!+"y@4!7n"</f>
        <v>#REF!</v>
      </c>
      <c r="HT6" s="2" t="e">
        <f>#REF!+"y@4!7o"</f>
        <v>#REF!</v>
      </c>
      <c r="HU6" t="e">
        <f>#REF!+"y@4!7p"</f>
        <v>#REF!</v>
      </c>
      <c r="HV6" s="2" t="e">
        <f>#REF!+"y@4!7q"</f>
        <v>#REF!</v>
      </c>
      <c r="HW6" s="2" t="e">
        <f>#REF!+"y@4!7r"</f>
        <v>#REF!</v>
      </c>
      <c r="HX6" s="2" t="e">
        <f>#REF!+"y@4!7s"</f>
        <v>#REF!</v>
      </c>
      <c r="HY6" s="2" t="e">
        <f>#REF!+"y@4!7t"</f>
        <v>#REF!</v>
      </c>
      <c r="HZ6" t="e">
        <f>#REF!+"y@4!7u"</f>
        <v>#REF!</v>
      </c>
      <c r="IA6" t="e">
        <f>#REF!+"y@4!7v"</f>
        <v>#REF!</v>
      </c>
      <c r="IB6" t="e">
        <f>#REF!+"y@4!7w"</f>
        <v>#REF!</v>
      </c>
      <c r="IC6" t="e">
        <f>#REF!+"y@4!7x"</f>
        <v>#REF!</v>
      </c>
      <c r="ID6" t="e">
        <f>#REF!+"y@4!7y"</f>
        <v>#REF!</v>
      </c>
      <c r="IE6" t="e">
        <f>#REF!+"y@4!7z"</f>
        <v>#REF!</v>
      </c>
      <c r="IF6" t="e">
        <f>#REF!+"y@4!7{"</f>
        <v>#REF!</v>
      </c>
      <c r="IG6" t="e">
        <f>#REF!+"y@4!7|"</f>
        <v>#REF!</v>
      </c>
      <c r="IH6" t="e">
        <f>#REF!+"y@4!7}"</f>
        <v>#REF!</v>
      </c>
      <c r="II6" t="e">
        <f>#REF!+"y@4!7~"</f>
        <v>#REF!</v>
      </c>
      <c r="IJ6" s="2" t="e">
        <f>#REF!+"y@4!8#"</f>
        <v>#REF!</v>
      </c>
      <c r="IK6" t="e">
        <f>#REF!+"y@4!8$"</f>
        <v>#REF!</v>
      </c>
      <c r="IL6" s="2" t="e">
        <f>#REF!+"y@4!8%"</f>
        <v>#REF!</v>
      </c>
      <c r="IM6" s="2" t="e">
        <f>#REF!+"y@4!8&amp;"</f>
        <v>#REF!</v>
      </c>
      <c r="IN6" s="2" t="e">
        <f>#REF!+"y@4!8'"</f>
        <v>#REF!</v>
      </c>
      <c r="IO6" s="2" t="e">
        <f>#REF!+"y@4!8("</f>
        <v>#REF!</v>
      </c>
      <c r="IP6" t="e">
        <f>#REF!+"y@4!8)"</f>
        <v>#REF!</v>
      </c>
      <c r="IQ6" t="e">
        <f>#REF!+"y@4!8."</f>
        <v>#REF!</v>
      </c>
      <c r="IR6" t="e">
        <f>#REF!+"y@4!8/"</f>
        <v>#REF!</v>
      </c>
      <c r="IS6" t="e">
        <f>#REF!+"y@4!80"</f>
        <v>#REF!</v>
      </c>
      <c r="IT6" t="e">
        <f>#REF!+"y@4!81"</f>
        <v>#REF!</v>
      </c>
      <c r="IU6" t="e">
        <f>#REF!+"y@4!82"</f>
        <v>#REF!</v>
      </c>
      <c r="IV6" t="e">
        <f>#REF!+"y@4!83"</f>
        <v>#REF!</v>
      </c>
    </row>
    <row r="7" spans="1:256" x14ac:dyDescent="0.25">
      <c r="F7" t="e">
        <f>#REF!+"y@4!84"</f>
        <v>#REF!</v>
      </c>
      <c r="G7" t="e">
        <f>#REF!+"y@4!85"</f>
        <v>#REF!</v>
      </c>
      <c r="H7" t="e">
        <f>#REF!+"y@4!86"</f>
        <v>#REF!</v>
      </c>
      <c r="I7" s="2" t="e">
        <f>#REF!+"y@4!87"</f>
        <v>#REF!</v>
      </c>
      <c r="J7" t="e">
        <f>#REF!+"y@4!88"</f>
        <v>#REF!</v>
      </c>
      <c r="K7" s="2" t="e">
        <f>#REF!+"y@4!89"</f>
        <v>#REF!</v>
      </c>
      <c r="L7" s="2" t="e">
        <f>#REF!+"y@4!8:"</f>
        <v>#REF!</v>
      </c>
      <c r="M7" s="2" t="e">
        <f>#REF!+"y@4!8;"</f>
        <v>#REF!</v>
      </c>
      <c r="N7" s="2" t="e">
        <f>#REF!+"y@4!8&lt;"</f>
        <v>#REF!</v>
      </c>
      <c r="O7" t="e">
        <f>#REF!+"y@4!8="</f>
        <v>#REF!</v>
      </c>
      <c r="P7" t="e">
        <f>#REF!+"y@4!8&gt;"</f>
        <v>#REF!</v>
      </c>
      <c r="Q7" t="e">
        <f>#REF!+"y@4!8?"</f>
        <v>#REF!</v>
      </c>
      <c r="R7" t="e">
        <f>#REF!+"y@4!8@"</f>
        <v>#REF!</v>
      </c>
      <c r="S7" t="e">
        <f>#REF!+"y@4!8A"</f>
        <v>#REF!</v>
      </c>
      <c r="T7" t="e">
        <f>#REF!+"y@4!8B"</f>
        <v>#REF!</v>
      </c>
      <c r="U7" t="e">
        <f>#REF!+"y@4!8C"</f>
        <v>#REF!</v>
      </c>
      <c r="V7" t="e">
        <f>#REF!+"y@4!8D"</f>
        <v>#REF!</v>
      </c>
      <c r="W7" t="e">
        <f>#REF!+"y@4!8E"</f>
        <v>#REF!</v>
      </c>
      <c r="X7" t="e">
        <f>#REF!+"y@4!8F"</f>
        <v>#REF!</v>
      </c>
      <c r="Y7" s="2" t="e">
        <f>#REF!+"y@4!8G"</f>
        <v>#REF!</v>
      </c>
      <c r="Z7" t="e">
        <f>#REF!+"y@4!8H"</f>
        <v>#REF!</v>
      </c>
      <c r="AA7" s="2" t="e">
        <f>#REF!+"y@4!8I"</f>
        <v>#REF!</v>
      </c>
      <c r="AB7" s="2" t="e">
        <f>#REF!+"y@4!8J"</f>
        <v>#REF!</v>
      </c>
      <c r="AC7" s="2" t="e">
        <f>#REF!+"y@4!8K"</f>
        <v>#REF!</v>
      </c>
      <c r="AD7" s="2" t="e">
        <f>#REF!+"y@4!8L"</f>
        <v>#REF!</v>
      </c>
      <c r="AE7" t="e">
        <f>#REF!+"y@4!8M"</f>
        <v>#REF!</v>
      </c>
      <c r="AF7" t="e">
        <f>#REF!+"y@4!8N"</f>
        <v>#REF!</v>
      </c>
      <c r="AG7" t="e">
        <f>#REF!+"y@4!8O"</f>
        <v>#REF!</v>
      </c>
      <c r="AH7" t="e">
        <f>#REF!+"y@4!8P"</f>
        <v>#REF!</v>
      </c>
      <c r="AI7" t="e">
        <f>#REF!+"y@4!8Q"</f>
        <v>#REF!</v>
      </c>
      <c r="AJ7" t="e">
        <f>#REF!+"y@4!8R"</f>
        <v>#REF!</v>
      </c>
      <c r="AK7" t="e">
        <f>#REF!+"y@4!8S"</f>
        <v>#REF!</v>
      </c>
      <c r="AL7" t="e">
        <f>#REF!+"y@4!8T"</f>
        <v>#REF!</v>
      </c>
      <c r="AM7" t="e">
        <f>#REF!+"y@4!8U"</f>
        <v>#REF!</v>
      </c>
      <c r="AN7" t="e">
        <f>#REF!+"y@4!8V"</f>
        <v>#REF!</v>
      </c>
      <c r="AO7" s="2" t="e">
        <f>#REF!+"y@4!8W"</f>
        <v>#REF!</v>
      </c>
      <c r="AP7" t="e">
        <f>#REF!+"y@4!8X"</f>
        <v>#REF!</v>
      </c>
      <c r="AQ7" s="2" t="e">
        <f>#REF!+"y@4!8Y"</f>
        <v>#REF!</v>
      </c>
      <c r="AR7" s="2" t="e">
        <f>#REF!+"y@4!8Z"</f>
        <v>#REF!</v>
      </c>
      <c r="AS7" s="2" t="e">
        <f>#REF!+"y@4!8["</f>
        <v>#REF!</v>
      </c>
      <c r="AT7" s="2" t="e">
        <f>#REF!+"y@4!8\"</f>
        <v>#REF!</v>
      </c>
      <c r="AU7" t="e">
        <f>#REF!+"y@4!8]"</f>
        <v>#REF!</v>
      </c>
      <c r="AV7" t="e">
        <f>#REF!+"y@4!8^"</f>
        <v>#REF!</v>
      </c>
      <c r="AW7" t="e">
        <f>#REF!+"y@4!8_"</f>
        <v>#REF!</v>
      </c>
      <c r="AX7" t="e">
        <f>#REF!+"y@4!8`"</f>
        <v>#REF!</v>
      </c>
      <c r="AY7" t="e">
        <f>#REF!+"y@4!8a"</f>
        <v>#REF!</v>
      </c>
      <c r="AZ7" t="e">
        <f>#REF!+"y@4!8b"</f>
        <v>#REF!</v>
      </c>
      <c r="BA7" t="e">
        <f>#REF!+"y@4!8c"</f>
        <v>#REF!</v>
      </c>
      <c r="BB7" t="e">
        <f>#REF!+"y@4!8d"</f>
        <v>#REF!</v>
      </c>
      <c r="BC7" t="e">
        <f>#REF!+"y@4!8e"</f>
        <v>#REF!</v>
      </c>
      <c r="BD7" t="e">
        <f>#REF!+"y@4!8f"</f>
        <v>#REF!</v>
      </c>
      <c r="BE7" s="2" t="e">
        <f>#REF!+"y@4!8g"</f>
        <v>#REF!</v>
      </c>
      <c r="BF7" t="e">
        <f>#REF!+"y@4!8h"</f>
        <v>#REF!</v>
      </c>
      <c r="BG7" s="2" t="e">
        <f>#REF!+"y@4!8i"</f>
        <v>#REF!</v>
      </c>
      <c r="BH7" s="2" t="e">
        <f>#REF!+"y@4!8j"</f>
        <v>#REF!</v>
      </c>
      <c r="BI7" s="2" t="e">
        <f>#REF!+"y@4!8k"</f>
        <v>#REF!</v>
      </c>
      <c r="BJ7" s="2" t="e">
        <f>#REF!+"y@4!8l"</f>
        <v>#REF!</v>
      </c>
      <c r="BK7" t="e">
        <f>#REF!+"y@4!8m"</f>
        <v>#REF!</v>
      </c>
      <c r="BL7" t="e">
        <f>#REF!+"y@4!8n"</f>
        <v>#REF!</v>
      </c>
      <c r="BM7" t="e">
        <f>#REF!+"y@4!8o"</f>
        <v>#REF!</v>
      </c>
      <c r="BN7" t="e">
        <f>#REF!+"y@4!8p"</f>
        <v>#REF!</v>
      </c>
      <c r="BO7" t="e">
        <f>#REF!+"y@4!8q"</f>
        <v>#REF!</v>
      </c>
      <c r="BP7" t="e">
        <f>#REF!+"y@4!8r"</f>
        <v>#REF!</v>
      </c>
      <c r="BQ7" t="e">
        <f>#REF!+"y@4!8s"</f>
        <v>#REF!</v>
      </c>
      <c r="BR7" t="e">
        <f>#REF!+"y@4!8t"</f>
        <v>#REF!</v>
      </c>
      <c r="BS7" t="e">
        <f>#REF!+"y@4!8u"</f>
        <v>#REF!</v>
      </c>
      <c r="BT7" t="e">
        <f>#REF!+"y@4!8v"</f>
        <v>#REF!</v>
      </c>
      <c r="BU7" s="2" t="e">
        <f>#REF!+"y@4!8w"</f>
        <v>#REF!</v>
      </c>
      <c r="BV7" t="e">
        <f>#REF!+"y@4!8x"</f>
        <v>#REF!</v>
      </c>
      <c r="BW7" s="2" t="e">
        <f>#REF!+"y@4!8y"</f>
        <v>#REF!</v>
      </c>
      <c r="BX7" s="2" t="e">
        <f>#REF!+"y@4!8z"</f>
        <v>#REF!</v>
      </c>
      <c r="BY7" s="2" t="e">
        <f>#REF!+"y@4!8{"</f>
        <v>#REF!</v>
      </c>
      <c r="BZ7" s="2" t="e">
        <f>#REF!+"y@4!8|"</f>
        <v>#REF!</v>
      </c>
      <c r="CA7" t="e">
        <f>#REF!+"y@4!8}"</f>
        <v>#REF!</v>
      </c>
      <c r="CB7" t="e">
        <f>#REF!+"y@4!8~"</f>
        <v>#REF!</v>
      </c>
      <c r="CC7" t="e">
        <f>#REF!+"y@4!9#"</f>
        <v>#REF!</v>
      </c>
      <c r="CD7" t="e">
        <f>#REF!+"y@4!9$"</f>
        <v>#REF!</v>
      </c>
      <c r="CE7" t="e">
        <f>#REF!+"y@4!9%"</f>
        <v>#REF!</v>
      </c>
      <c r="CF7" t="e">
        <f>#REF!+"y@4!9&amp;"</f>
        <v>#REF!</v>
      </c>
      <c r="CG7" t="e">
        <f>#REF!+"y@4!9'"</f>
        <v>#REF!</v>
      </c>
      <c r="CH7" t="e">
        <f>#REF!+"y@4!9("</f>
        <v>#REF!</v>
      </c>
      <c r="CI7" t="e">
        <f>#REF!+"y@4!9)"</f>
        <v>#REF!</v>
      </c>
      <c r="CJ7" t="e">
        <f>#REF!+"y@4!9."</f>
        <v>#REF!</v>
      </c>
      <c r="CK7" s="2" t="e">
        <f>#REF!+"y@4!9/"</f>
        <v>#REF!</v>
      </c>
      <c r="CL7" t="e">
        <f>#REF!+"y@4!90"</f>
        <v>#REF!</v>
      </c>
      <c r="CM7" s="2" t="e">
        <f>#REF!+"y@4!91"</f>
        <v>#REF!</v>
      </c>
      <c r="CN7" s="2" t="e">
        <f>#REF!+"y@4!92"</f>
        <v>#REF!</v>
      </c>
      <c r="CO7" s="2" t="e">
        <f>#REF!+"y@4!93"</f>
        <v>#REF!</v>
      </c>
      <c r="CP7" s="2" t="e">
        <f>#REF!+"y@4!94"</f>
        <v>#REF!</v>
      </c>
      <c r="CQ7" t="e">
        <f>#REF!+"y@4!95"</f>
        <v>#REF!</v>
      </c>
      <c r="CR7" t="e">
        <f>#REF!+"y@4!96"</f>
        <v>#REF!</v>
      </c>
      <c r="CS7" t="e">
        <f>#REF!+"y@4!97"</f>
        <v>#REF!</v>
      </c>
      <c r="CT7" t="e">
        <f>#REF!+"y@4!98"</f>
        <v>#REF!</v>
      </c>
      <c r="CU7" t="e">
        <f>#REF!+"y@4!99"</f>
        <v>#REF!</v>
      </c>
      <c r="CV7" t="e">
        <f>#REF!+"y@4!9:"</f>
        <v>#REF!</v>
      </c>
      <c r="CW7" t="e">
        <f>#REF!+"y@4!9;"</f>
        <v>#REF!</v>
      </c>
      <c r="CX7" t="e">
        <f>#REF!+"y@4!9&lt;"</f>
        <v>#REF!</v>
      </c>
      <c r="CY7" t="e">
        <f>#REF!+"y@4!9="</f>
        <v>#REF!</v>
      </c>
      <c r="CZ7" t="e">
        <f>#REF!+"y@4!9&gt;"</f>
        <v>#REF!</v>
      </c>
      <c r="DA7" s="2" t="e">
        <f>#REF!+"y@4!9?"</f>
        <v>#REF!</v>
      </c>
      <c r="DB7" t="e">
        <f>#REF!+"y@4!9@"</f>
        <v>#REF!</v>
      </c>
      <c r="DC7" s="2" t="e">
        <f>#REF!+"y@4!9A"</f>
        <v>#REF!</v>
      </c>
      <c r="DD7" s="2" t="e">
        <f>#REF!+"y@4!9B"</f>
        <v>#REF!</v>
      </c>
      <c r="DE7" s="2" t="e">
        <f>#REF!+"y@4!9C"</f>
        <v>#REF!</v>
      </c>
      <c r="DF7" s="2" t="e">
        <f>#REF!+"y@4!9D"</f>
        <v>#REF!</v>
      </c>
      <c r="DG7" t="e">
        <f>#REF!+"y@4!9E"</f>
        <v>#REF!</v>
      </c>
      <c r="DH7" t="e">
        <f>#REF!+"y@4!9F"</f>
        <v>#REF!</v>
      </c>
      <c r="DI7" t="e">
        <f>#REF!+"y@4!9G"</f>
        <v>#REF!</v>
      </c>
      <c r="DJ7" t="e">
        <f>#REF!+"y@4!9H"</f>
        <v>#REF!</v>
      </c>
      <c r="DK7" t="e">
        <f>#REF!+"y@4!9I"</f>
        <v>#REF!</v>
      </c>
      <c r="DL7" t="e">
        <f>#REF!+"y@4!9J"</f>
        <v>#REF!</v>
      </c>
      <c r="DM7" t="e">
        <f>#REF!+"y@4!9K"</f>
        <v>#REF!</v>
      </c>
      <c r="DN7" t="e">
        <f>#REF!+"y@4!9L"</f>
        <v>#REF!</v>
      </c>
      <c r="DO7" t="e">
        <f>#REF!+"y@4!9M"</f>
        <v>#REF!</v>
      </c>
      <c r="DP7" t="e">
        <f>#REF!+"y@4!9N"</f>
        <v>#REF!</v>
      </c>
      <c r="DQ7" s="2" t="e">
        <f>#REF!+"y@4!9O"</f>
        <v>#REF!</v>
      </c>
      <c r="DR7" t="e">
        <f>#REF!+"y@4!9P"</f>
        <v>#REF!</v>
      </c>
      <c r="DS7" s="2" t="e">
        <f>#REF!+"y@4!9Q"</f>
        <v>#REF!</v>
      </c>
      <c r="DT7" s="2" t="e">
        <f>#REF!+"y@4!9R"</f>
        <v>#REF!</v>
      </c>
      <c r="DU7" s="2" t="e">
        <f>#REF!+"y@4!9S"</f>
        <v>#REF!</v>
      </c>
      <c r="DV7" s="2" t="e">
        <f>#REF!+"y@4!9T"</f>
        <v>#REF!</v>
      </c>
      <c r="DW7" t="e">
        <f>#REF!+"y@4!9U"</f>
        <v>#REF!</v>
      </c>
      <c r="DX7" t="e">
        <f>#REF!+"y@4!9V"</f>
        <v>#REF!</v>
      </c>
      <c r="DY7" t="e">
        <f>#REF!+"y@4!9W"</f>
        <v>#REF!</v>
      </c>
      <c r="DZ7" t="e">
        <f>#REF!+"y@4!9X"</f>
        <v>#REF!</v>
      </c>
      <c r="EA7" t="e">
        <f>#REF!+"y@4!9Y"</f>
        <v>#REF!</v>
      </c>
      <c r="EB7" t="e">
        <f>#REF!+"y@4!9Z"</f>
        <v>#REF!</v>
      </c>
      <c r="EC7" t="e">
        <f>#REF!+"y@4!9["</f>
        <v>#REF!</v>
      </c>
      <c r="ED7" t="e">
        <f>#REF!+"y@4!9\"</f>
        <v>#REF!</v>
      </c>
      <c r="EE7" t="e">
        <f>#REF!+"y@4!9]"</f>
        <v>#REF!</v>
      </c>
      <c r="EF7" t="e">
        <f>#REF!+"y@4!9^"</f>
        <v>#REF!</v>
      </c>
      <c r="EG7" s="2" t="e">
        <f>#REF!+"y@4!9_"</f>
        <v>#REF!</v>
      </c>
      <c r="EH7" t="e">
        <f>#REF!+"y@4!9`"</f>
        <v>#REF!</v>
      </c>
      <c r="EI7" s="2" t="e">
        <f>#REF!+"y@4!9a"</f>
        <v>#REF!</v>
      </c>
      <c r="EJ7" s="2" t="e">
        <f>#REF!+"y@4!9b"</f>
        <v>#REF!</v>
      </c>
      <c r="EK7" s="2" t="e">
        <f>#REF!+"y@4!9c"</f>
        <v>#REF!</v>
      </c>
      <c r="EL7" s="2" t="e">
        <f>#REF!+"y@4!9d"</f>
        <v>#REF!</v>
      </c>
      <c r="EM7" t="e">
        <f>#REF!+"y@4!9e"</f>
        <v>#REF!</v>
      </c>
      <c r="EN7" t="e">
        <f>#REF!+"y@4!9f"</f>
        <v>#REF!</v>
      </c>
      <c r="EO7" t="e">
        <f>#REF!+"y@4!9g"</f>
        <v>#REF!</v>
      </c>
      <c r="EP7" t="e">
        <f>#REF!+"y@4!9h"</f>
        <v>#REF!</v>
      </c>
      <c r="EQ7" t="e">
        <f>#REF!+"y@4!9i"</f>
        <v>#REF!</v>
      </c>
      <c r="ER7" t="e">
        <f>#REF!+"y@4!9j"</f>
        <v>#REF!</v>
      </c>
      <c r="ES7" t="e">
        <f>#REF!+"y@4!9k"</f>
        <v>#REF!</v>
      </c>
      <c r="ET7" t="e">
        <f>#REF!+"y@4!9l"</f>
        <v>#REF!</v>
      </c>
      <c r="EU7" t="e">
        <f>#REF!+"y@4!9m"</f>
        <v>#REF!</v>
      </c>
      <c r="EV7" t="e">
        <f>#REF!+"y@4!9n"</f>
        <v>#REF!</v>
      </c>
      <c r="EW7" s="2" t="e">
        <f>#REF!+"y@4!9o"</f>
        <v>#REF!</v>
      </c>
      <c r="EX7" t="e">
        <f>#REF!+"y@4!9p"</f>
        <v>#REF!</v>
      </c>
      <c r="EY7" s="2" t="e">
        <f>#REF!+"y@4!9q"</f>
        <v>#REF!</v>
      </c>
      <c r="EZ7" s="2" t="e">
        <f>#REF!+"y@4!9r"</f>
        <v>#REF!</v>
      </c>
      <c r="FA7" s="2" t="e">
        <f>#REF!+"y@4!9s"</f>
        <v>#REF!</v>
      </c>
      <c r="FB7" s="2" t="e">
        <f>#REF!+"y@4!9t"</f>
        <v>#REF!</v>
      </c>
      <c r="FC7" t="e">
        <f>#REF!+"y@4!9u"</f>
        <v>#REF!</v>
      </c>
      <c r="FD7" t="e">
        <f>#REF!+"y@4!9v"</f>
        <v>#REF!</v>
      </c>
      <c r="FE7" t="e">
        <f>#REF!+"y@4!9w"</f>
        <v>#REF!</v>
      </c>
      <c r="FF7" t="e">
        <f>#REF!+"y@4!9x"</f>
        <v>#REF!</v>
      </c>
      <c r="FG7" t="e">
        <f>#REF!+"y@4!9y"</f>
        <v>#REF!</v>
      </c>
      <c r="FH7" t="e">
        <f>#REF!+"y@4!9z"</f>
        <v>#REF!</v>
      </c>
      <c r="FI7" t="e">
        <f>#REF!+"y@4!9{"</f>
        <v>#REF!</v>
      </c>
      <c r="FJ7" t="e">
        <f>#REF!+"y@4!9|"</f>
        <v>#REF!</v>
      </c>
      <c r="FK7" t="e">
        <f>#REF!+"y@4!9}"</f>
        <v>#REF!</v>
      </c>
      <c r="FL7" t="e">
        <f>#REF!+"y@4!9~"</f>
        <v>#REF!</v>
      </c>
      <c r="FM7" s="2" t="e">
        <f>#REF!+"y@4!:#"</f>
        <v>#REF!</v>
      </c>
      <c r="FN7" t="e">
        <f>#REF!+"y@4!:$"</f>
        <v>#REF!</v>
      </c>
      <c r="FO7" s="2" t="e">
        <f>#REF!+"y@4!:%"</f>
        <v>#REF!</v>
      </c>
      <c r="FP7" s="2" t="e">
        <f>#REF!+"y@4!:&amp;"</f>
        <v>#REF!</v>
      </c>
      <c r="FQ7" s="2" t="e">
        <f>#REF!+"y@4!:'"</f>
        <v>#REF!</v>
      </c>
      <c r="FR7" s="2" t="e">
        <f>#REF!+"y@4!:("</f>
        <v>#REF!</v>
      </c>
      <c r="FS7" t="e">
        <f>#REF!+"y@4!:)"</f>
        <v>#REF!</v>
      </c>
      <c r="FT7" t="e">
        <f>#REF!+"y@4!:."</f>
        <v>#REF!</v>
      </c>
      <c r="FU7" t="e">
        <f>#REF!+"y@4!:/"</f>
        <v>#REF!</v>
      </c>
      <c r="FV7" t="e">
        <f>#REF!+"y@4!:0"</f>
        <v>#REF!</v>
      </c>
      <c r="FW7" t="e">
        <f>#REF!+"y@4!:1"</f>
        <v>#REF!</v>
      </c>
      <c r="FX7" t="e">
        <f>#REF!+"y@4!:2"</f>
        <v>#REF!</v>
      </c>
      <c r="FY7" t="e">
        <f>#REF!+"y@4!:3"</f>
        <v>#REF!</v>
      </c>
      <c r="FZ7" t="e">
        <f>#REF!+"y@4!:4"</f>
        <v>#REF!</v>
      </c>
      <c r="GA7" t="e">
        <f>#REF!+"y@4!:5"</f>
        <v>#REF!</v>
      </c>
      <c r="GB7" t="e">
        <f>#REF!+"y@4!:6"</f>
        <v>#REF!</v>
      </c>
      <c r="GC7" s="2" t="e">
        <f>#REF!+"y@4!:7"</f>
        <v>#REF!</v>
      </c>
      <c r="GD7" t="e">
        <f>#REF!+"y@4!:8"</f>
        <v>#REF!</v>
      </c>
      <c r="GE7" s="2" t="e">
        <f>#REF!+"y@4!:9"</f>
        <v>#REF!</v>
      </c>
      <c r="GF7" s="2" t="e">
        <f>#REF!+"y@4!::"</f>
        <v>#REF!</v>
      </c>
      <c r="GG7" s="2" t="e">
        <f>#REF!+"y@4!:;"</f>
        <v>#REF!</v>
      </c>
      <c r="GH7" s="2" t="e">
        <f>#REF!+"y@4!:&lt;"</f>
        <v>#REF!</v>
      </c>
      <c r="GI7" t="e">
        <f>#REF!+"y@4!:="</f>
        <v>#REF!</v>
      </c>
      <c r="GJ7" t="e">
        <f>#REF!+"y@4!:&gt;"</f>
        <v>#REF!</v>
      </c>
      <c r="GK7" t="e">
        <f>#REF!+"y@4!:?"</f>
        <v>#REF!</v>
      </c>
      <c r="GL7" t="e">
        <f>#REF!+"y@4!:@"</f>
        <v>#REF!</v>
      </c>
      <c r="GM7" t="e">
        <f>#REF!+"y@4!:A"</f>
        <v>#REF!</v>
      </c>
      <c r="GN7" t="e">
        <f>#REF!+"y@4!:B"</f>
        <v>#REF!</v>
      </c>
      <c r="GO7" t="e">
        <f>#REF!+"y@4!:C"</f>
        <v>#REF!</v>
      </c>
      <c r="GP7" t="e">
        <f>#REF!+"y@4!:D"</f>
        <v>#REF!</v>
      </c>
      <c r="GQ7" t="e">
        <f>#REF!+"y@4!:E"</f>
        <v>#REF!</v>
      </c>
      <c r="GR7" t="e">
        <f>#REF!+"y@4!:F"</f>
        <v>#REF!</v>
      </c>
      <c r="GS7" s="2" t="e">
        <f>#REF!+"y@4!:G"</f>
        <v>#REF!</v>
      </c>
      <c r="GT7" t="e">
        <f>#REF!+"y@4!:H"</f>
        <v>#REF!</v>
      </c>
      <c r="GU7" s="2" t="e">
        <f>#REF!+"y@4!:I"</f>
        <v>#REF!</v>
      </c>
      <c r="GV7" s="2" t="e">
        <f>#REF!+"y@4!:J"</f>
        <v>#REF!</v>
      </c>
      <c r="GW7" s="2" t="e">
        <f>#REF!+"y@4!:K"</f>
        <v>#REF!</v>
      </c>
      <c r="GX7" s="2" t="e">
        <f>#REF!+"y@4!:L"</f>
        <v>#REF!</v>
      </c>
      <c r="GY7" t="e">
        <f>#REF!+"y@4!:M"</f>
        <v>#REF!</v>
      </c>
      <c r="GZ7" t="e">
        <f>#REF!+"y@4!:N"</f>
        <v>#REF!</v>
      </c>
      <c r="HA7" t="e">
        <f>#REF!+"y@4!:O"</f>
        <v>#REF!</v>
      </c>
      <c r="HB7" t="e">
        <f>#REF!+"y@4!:P"</f>
        <v>#REF!</v>
      </c>
      <c r="HC7" t="e">
        <f>#REF!+"y@4!:Q"</f>
        <v>#REF!</v>
      </c>
      <c r="HD7" t="e">
        <f>#REF!+"y@4!:R"</f>
        <v>#REF!</v>
      </c>
      <c r="HE7" t="e">
        <f>#REF!+"y@4!:S"</f>
        <v>#REF!</v>
      </c>
      <c r="HF7" t="e">
        <f>#REF!+"y@4!:T"</f>
        <v>#REF!</v>
      </c>
      <c r="HG7" t="e">
        <f>#REF!+"y@4!:U"</f>
        <v>#REF!</v>
      </c>
      <c r="HH7" t="e">
        <f>#REF!+"y@4!:V"</f>
        <v>#REF!</v>
      </c>
      <c r="HI7" s="2" t="e">
        <f>#REF!+"y@4!:W"</f>
        <v>#REF!</v>
      </c>
      <c r="HJ7" t="e">
        <f>#REF!+"y@4!:X"</f>
        <v>#REF!</v>
      </c>
      <c r="HK7" s="2" t="e">
        <f>#REF!+"y@4!:Y"</f>
        <v>#REF!</v>
      </c>
      <c r="HL7" s="2" t="e">
        <f>#REF!+"y@4!:Z"</f>
        <v>#REF!</v>
      </c>
      <c r="HM7" s="2" t="e">
        <f>#REF!+"y@4!:["</f>
        <v>#REF!</v>
      </c>
      <c r="HN7" s="2" t="e">
        <f>#REF!+"y@4!:\"</f>
        <v>#REF!</v>
      </c>
      <c r="HO7" t="e">
        <f>#REF!+"y@4!:]"</f>
        <v>#REF!</v>
      </c>
      <c r="HP7" t="e">
        <f>#REF!+"y@4!:^"</f>
        <v>#REF!</v>
      </c>
      <c r="HQ7" t="e">
        <f>#REF!+"y@4!:_"</f>
        <v>#REF!</v>
      </c>
      <c r="HR7" t="e">
        <f>#REF!+"y@4!:`"</f>
        <v>#REF!</v>
      </c>
      <c r="HS7" t="e">
        <f>#REF!+"y@4!:a"</f>
        <v>#REF!</v>
      </c>
      <c r="HT7" t="e">
        <f>#REF!+"y@4!:b"</f>
        <v>#REF!</v>
      </c>
      <c r="HU7" t="e">
        <f>#REF!+"y@4!:c"</f>
        <v>#REF!</v>
      </c>
      <c r="HV7" t="e">
        <f>#REF!+"y@4!:d"</f>
        <v>#REF!</v>
      </c>
      <c r="HW7" t="e">
        <f>#REF!+"y@4!:e"</f>
        <v>#REF!</v>
      </c>
      <c r="HX7" t="e">
        <f>#REF!+"y@4!:f"</f>
        <v>#REF!</v>
      </c>
      <c r="HY7" s="2" t="e">
        <f>#REF!+"y@4!:g"</f>
        <v>#REF!</v>
      </c>
      <c r="HZ7" t="e">
        <f>#REF!+"y@4!:h"</f>
        <v>#REF!</v>
      </c>
      <c r="IA7" s="2" t="e">
        <f>#REF!+"y@4!:i"</f>
        <v>#REF!</v>
      </c>
      <c r="IB7" t="e">
        <f>#REF!+"y@4!:j"</f>
        <v>#REF!</v>
      </c>
      <c r="IC7" s="2" t="e">
        <f>#REF!+"y@4!:k"</f>
        <v>#REF!</v>
      </c>
      <c r="ID7" s="2" t="e">
        <f>#REF!+"y@4!:l"</f>
        <v>#REF!</v>
      </c>
      <c r="IE7" t="e">
        <f>#REF!+"y@4!:m"</f>
        <v>#REF!</v>
      </c>
      <c r="IF7" t="e">
        <f>#REF!+"y@4!:n"</f>
        <v>#REF!</v>
      </c>
      <c r="IG7" t="e">
        <f>#REF!+"y@4!:o"</f>
        <v>#REF!</v>
      </c>
      <c r="IH7" t="e">
        <f>#REF!+"y@4!:p"</f>
        <v>#REF!</v>
      </c>
      <c r="II7" t="e">
        <f>#REF!+"y@4!:q"</f>
        <v>#REF!</v>
      </c>
      <c r="IJ7" t="e">
        <f>#REF!+"y@4!:r"</f>
        <v>#REF!</v>
      </c>
      <c r="IK7" t="e">
        <f>#REF!+"y@4!:s"</f>
        <v>#REF!</v>
      </c>
      <c r="IL7" t="e">
        <f>#REF!+"y@4!:t"</f>
        <v>#REF!</v>
      </c>
      <c r="IM7" t="e">
        <f>#REF!+"y@4!:u"</f>
        <v>#REF!</v>
      </c>
      <c r="IN7" t="e">
        <f>#REF!+"y@4!:v"</f>
        <v>#REF!</v>
      </c>
      <c r="IO7" s="2" t="e">
        <f>#REF!+"y@4!:w"</f>
        <v>#REF!</v>
      </c>
      <c r="IP7" t="e">
        <f>#REF!+"y@4!:x"</f>
        <v>#REF!</v>
      </c>
      <c r="IQ7" s="2" t="e">
        <f>#REF!+"y@4!:y"</f>
        <v>#REF!</v>
      </c>
      <c r="IR7" t="e">
        <f>#REF!+"y@4!:z"</f>
        <v>#REF!</v>
      </c>
      <c r="IS7" s="2" t="e">
        <f>#REF!+"y@4!:{"</f>
        <v>#REF!</v>
      </c>
      <c r="IT7" s="2" t="e">
        <f>#REF!+"y@4!:|"</f>
        <v>#REF!</v>
      </c>
      <c r="IU7" t="e">
        <f>#REF!+"y@4!:}"</f>
        <v>#REF!</v>
      </c>
      <c r="IV7" t="e">
        <f>#REF!+"y@4!:~"</f>
        <v>#REF!</v>
      </c>
    </row>
    <row r="8" spans="1:256" x14ac:dyDescent="0.25">
      <c r="F8" t="e">
        <f>#REF!+"y@4!;#"</f>
        <v>#REF!</v>
      </c>
      <c r="G8" t="e">
        <f>#REF!+"y@4!;$"</f>
        <v>#REF!</v>
      </c>
      <c r="H8" t="e">
        <f>#REF!+"y@4!;%"</f>
        <v>#REF!</v>
      </c>
      <c r="I8" t="e">
        <f>#REF!+"y@4!;&amp;"</f>
        <v>#REF!</v>
      </c>
      <c r="J8" t="e">
        <f>#REF!+"y@4!;'"</f>
        <v>#REF!</v>
      </c>
      <c r="K8" t="e">
        <f>#REF!+"y@4!;("</f>
        <v>#REF!</v>
      </c>
      <c r="L8" t="e">
        <f>#REF!+"y@4!;)"</f>
        <v>#REF!</v>
      </c>
      <c r="M8" t="e">
        <f>#REF!+"y@4!;."</f>
        <v>#REF!</v>
      </c>
      <c r="N8" s="2" t="e">
        <f>#REF!+"y@4!;/"</f>
        <v>#REF!</v>
      </c>
      <c r="O8" t="e">
        <f>#REF!+"y@4!;0"</f>
        <v>#REF!</v>
      </c>
      <c r="P8" s="2" t="e">
        <f>#REF!+"y@4!;1"</f>
        <v>#REF!</v>
      </c>
      <c r="Q8" t="e">
        <f>#REF!+"y@4!;2"</f>
        <v>#REF!</v>
      </c>
      <c r="R8" s="2" t="e">
        <f>#REF!+"y@4!;3"</f>
        <v>#REF!</v>
      </c>
      <c r="S8" s="2" t="e">
        <f>#REF!+"y@4!;4"</f>
        <v>#REF!</v>
      </c>
      <c r="T8" t="e">
        <f>#REF!+"y@4!;5"</f>
        <v>#REF!</v>
      </c>
      <c r="U8" t="e">
        <f>#REF!+"y@4!;6"</f>
        <v>#REF!</v>
      </c>
      <c r="V8" t="e">
        <f>#REF!+"y@4!;7"</f>
        <v>#REF!</v>
      </c>
      <c r="W8" t="e">
        <f>#REF!+"y@4!;8"</f>
        <v>#REF!</v>
      </c>
      <c r="X8" t="e">
        <f>#REF!+"y@4!;9"</f>
        <v>#REF!</v>
      </c>
      <c r="Y8" t="e">
        <f>#REF!+"y@4!;:"</f>
        <v>#REF!</v>
      </c>
      <c r="Z8" t="e">
        <f>#REF!+"y@4!;;"</f>
        <v>#REF!</v>
      </c>
      <c r="AA8" t="e">
        <f>#REF!+"y@4!;&lt;"</f>
        <v>#REF!</v>
      </c>
      <c r="AB8" t="e">
        <f>#REF!+"y@4!;="</f>
        <v>#REF!</v>
      </c>
      <c r="AC8" t="e">
        <f>#REF!+"y@4!;&gt;"</f>
        <v>#REF!</v>
      </c>
      <c r="AD8" s="2" t="e">
        <f>#REF!+"y@4!;?"</f>
        <v>#REF!</v>
      </c>
      <c r="AE8" t="e">
        <f>#REF!+"y@4!;@"</f>
        <v>#REF!</v>
      </c>
      <c r="AF8" s="2" t="e">
        <f>#REF!+"y@4!;A"</f>
        <v>#REF!</v>
      </c>
      <c r="AG8" t="e">
        <f>#REF!+"y@4!;B"</f>
        <v>#REF!</v>
      </c>
      <c r="AH8" s="2" t="e">
        <f>#REF!+"y@4!;C"</f>
        <v>#REF!</v>
      </c>
      <c r="AI8" s="2" t="e">
        <f>#REF!+"y@4!;D"</f>
        <v>#REF!</v>
      </c>
      <c r="AJ8" t="e">
        <f>#REF!+"y@4!;E"</f>
        <v>#REF!</v>
      </c>
      <c r="AK8" t="e">
        <f>#REF!+"y@4!;F"</f>
        <v>#REF!</v>
      </c>
      <c r="AL8" t="e">
        <f>#REF!+"y@4!;G"</f>
        <v>#REF!</v>
      </c>
      <c r="AM8" t="e">
        <f>#REF!+"y@4!;H"</f>
        <v>#REF!</v>
      </c>
      <c r="AN8" t="e">
        <f>#REF!+"y@4!;I"</f>
        <v>#REF!</v>
      </c>
      <c r="AO8" t="e">
        <f>#REF!+"y@4!;J"</f>
        <v>#REF!</v>
      </c>
      <c r="AP8" t="e">
        <f>#REF!+"y@4!;K"</f>
        <v>#REF!</v>
      </c>
      <c r="AQ8" t="e">
        <f>#REF!+"y@4!;L"</f>
        <v>#REF!</v>
      </c>
      <c r="AR8" t="e">
        <f>#REF!+"y@4!;M"</f>
        <v>#REF!</v>
      </c>
      <c r="AS8" t="e">
        <f>#REF!+"y@4!;N"</f>
        <v>#REF!</v>
      </c>
      <c r="AT8" s="2" t="e">
        <f>#REF!+"y@4!;O"</f>
        <v>#REF!</v>
      </c>
      <c r="AU8" t="e">
        <f>#REF!+"y@4!;P"</f>
        <v>#REF!</v>
      </c>
      <c r="AV8" s="2" t="e">
        <f>#REF!+"y@4!;Q"</f>
        <v>#REF!</v>
      </c>
      <c r="AW8" s="2" t="e">
        <f>#REF!+"y@4!;R"</f>
        <v>#REF!</v>
      </c>
      <c r="AX8" s="2" t="e">
        <f>#REF!+"y@4!;S"</f>
        <v>#REF!</v>
      </c>
      <c r="AY8" s="2" t="e">
        <f>#REF!+"y@4!;T"</f>
        <v>#REF!</v>
      </c>
      <c r="AZ8" t="e">
        <f>#REF!+"y@4!;U"</f>
        <v>#REF!</v>
      </c>
      <c r="BA8" t="e">
        <f>#REF!+"y@4!;V"</f>
        <v>#REF!</v>
      </c>
      <c r="BB8" t="e">
        <f>#REF!+"y@4!;W"</f>
        <v>#REF!</v>
      </c>
      <c r="BC8" t="e">
        <f>#REF!+"y@4!;X"</f>
        <v>#REF!</v>
      </c>
      <c r="BD8" t="e">
        <f>#REF!+"y@4!;Y"</f>
        <v>#REF!</v>
      </c>
      <c r="BE8" t="e">
        <f>#REF!+"y@4!;Z"</f>
        <v>#REF!</v>
      </c>
      <c r="BF8" t="e">
        <f>#REF!+"y@4!;["</f>
        <v>#REF!</v>
      </c>
      <c r="BG8" t="e">
        <f>#REF!+"y@4!;\"</f>
        <v>#REF!</v>
      </c>
      <c r="BH8" t="e">
        <f>#REF!+"y@4!;]"</f>
        <v>#REF!</v>
      </c>
      <c r="BI8" t="e">
        <f>#REF!+"y@4!;^"</f>
        <v>#REF!</v>
      </c>
      <c r="BJ8" s="2" t="e">
        <f>#REF!+"y@4!;_"</f>
        <v>#REF!</v>
      </c>
      <c r="BK8" t="e">
        <f>#REF!+"y@4!;`"</f>
        <v>#REF!</v>
      </c>
      <c r="BL8" s="2" t="e">
        <f>#REF!+"y@4!;a"</f>
        <v>#REF!</v>
      </c>
      <c r="BM8" s="2" t="e">
        <f>#REF!+"y@4!;b"</f>
        <v>#REF!</v>
      </c>
      <c r="BN8" s="2" t="e">
        <f>#REF!+"y@4!;c"</f>
        <v>#REF!</v>
      </c>
      <c r="BO8" s="2" t="e">
        <f>#REF!+"y@4!;d"</f>
        <v>#REF!</v>
      </c>
      <c r="BP8" t="e">
        <f>#REF!+"y@4!;e"</f>
        <v>#REF!</v>
      </c>
      <c r="BQ8" t="e">
        <f>#REF!+"y@4!;f"</f>
        <v>#REF!</v>
      </c>
      <c r="BR8" t="e">
        <f>#REF!+"y@4!;g"</f>
        <v>#REF!</v>
      </c>
      <c r="BS8" t="e">
        <f>#REF!+"y@4!;h"</f>
        <v>#REF!</v>
      </c>
      <c r="BT8" t="e">
        <f>#REF!+"y@4!;i"</f>
        <v>#REF!</v>
      </c>
      <c r="BU8" t="e">
        <f>#REF!+"y@4!;j"</f>
        <v>#REF!</v>
      </c>
      <c r="BV8" t="e">
        <f>#REF!+"y@4!;k"</f>
        <v>#REF!</v>
      </c>
      <c r="BW8" t="e">
        <f>#REF!+"y@4!;l"</f>
        <v>#REF!</v>
      </c>
      <c r="BX8" t="e">
        <f>#REF!+"y@4!;m"</f>
        <v>#REF!</v>
      </c>
      <c r="BY8" t="e">
        <f>#REF!+"y@4!;n"</f>
        <v>#REF!</v>
      </c>
      <c r="BZ8" s="2" t="e">
        <f>#REF!+"y@4!;o"</f>
        <v>#REF!</v>
      </c>
      <c r="CA8" t="e">
        <f>#REF!+"y@4!;p"</f>
        <v>#REF!</v>
      </c>
      <c r="CB8" s="2" t="e">
        <f>#REF!+"y@4!;q"</f>
        <v>#REF!</v>
      </c>
      <c r="CC8" s="2" t="e">
        <f>#REF!+"y@4!;r"</f>
        <v>#REF!</v>
      </c>
      <c r="CD8" s="2" t="e">
        <f>#REF!+"y@4!;s"</f>
        <v>#REF!</v>
      </c>
      <c r="CE8" s="2" t="e">
        <f>#REF!+"y@4!;t"</f>
        <v>#REF!</v>
      </c>
      <c r="CF8" t="e">
        <f>#REF!+"y@4!;u"</f>
        <v>#REF!</v>
      </c>
      <c r="CG8" t="e">
        <f>#REF!+"y@4!;v"</f>
        <v>#REF!</v>
      </c>
      <c r="CH8" t="e">
        <f>#REF!+"y@4!;w"</f>
        <v>#REF!</v>
      </c>
      <c r="CI8" t="e">
        <f>#REF!+"y@4!;x"</f>
        <v>#REF!</v>
      </c>
      <c r="CJ8" t="e">
        <f>#REF!+"y@4!;y"</f>
        <v>#REF!</v>
      </c>
      <c r="CK8" t="e">
        <f>#REF!+"y@4!;z"</f>
        <v>#REF!</v>
      </c>
      <c r="CL8" t="e">
        <f>#REF!+"y@4!;{"</f>
        <v>#REF!</v>
      </c>
      <c r="CM8" t="e">
        <f>#REF!+"y@4!;|"</f>
        <v>#REF!</v>
      </c>
      <c r="CN8" t="e">
        <f>#REF!+"y@4!;}"</f>
        <v>#REF!</v>
      </c>
      <c r="CO8" t="e">
        <f>#REF!+"y@4!;~"</f>
        <v>#REF!</v>
      </c>
      <c r="CP8" s="2" t="e">
        <f>#REF!+"y@4!&lt;#"</f>
        <v>#REF!</v>
      </c>
      <c r="CQ8" t="e">
        <f>#REF!+"y@4!&lt;$"</f>
        <v>#REF!</v>
      </c>
      <c r="CR8" s="2" t="e">
        <f>#REF!+"y@4!&lt;%"</f>
        <v>#REF!</v>
      </c>
      <c r="CS8" s="2" t="e">
        <f>#REF!+"y@4!&lt;&amp;"</f>
        <v>#REF!</v>
      </c>
      <c r="CT8" s="2" t="e">
        <f>#REF!+"y@4!&lt;'"</f>
        <v>#REF!</v>
      </c>
      <c r="CU8" s="2" t="e">
        <f>#REF!+"y@4!&lt;("</f>
        <v>#REF!</v>
      </c>
      <c r="CV8" t="e">
        <f>#REF!+"y@4!&lt;)"</f>
        <v>#REF!</v>
      </c>
      <c r="CW8" t="e">
        <f>#REF!+"y@4!&lt;."</f>
        <v>#REF!</v>
      </c>
      <c r="CX8" t="e">
        <f>#REF!+"y@4!&lt;/"</f>
        <v>#REF!</v>
      </c>
      <c r="CY8" t="e">
        <f>#REF!+"y@4!&lt;0"</f>
        <v>#REF!</v>
      </c>
      <c r="CZ8" t="e">
        <f>#REF!+"y@4!&lt;1"</f>
        <v>#REF!</v>
      </c>
      <c r="DA8" t="e">
        <f>#REF!+"y@4!&lt;2"</f>
        <v>#REF!</v>
      </c>
      <c r="DB8" t="e">
        <f>#REF!+"y@4!&lt;3"</f>
        <v>#REF!</v>
      </c>
      <c r="DC8" t="e">
        <f>#REF!+"y@4!&lt;4"</f>
        <v>#REF!</v>
      </c>
      <c r="DD8" t="e">
        <f>#REF!+"y@4!&lt;5"</f>
        <v>#REF!</v>
      </c>
      <c r="DE8" t="e">
        <f>#REF!+"y@4!&lt;6"</f>
        <v>#REF!</v>
      </c>
      <c r="DF8" s="2" t="e">
        <f>#REF!+"y@4!&lt;7"</f>
        <v>#REF!</v>
      </c>
      <c r="DG8" t="e">
        <f>#REF!+"y@4!&lt;8"</f>
        <v>#REF!</v>
      </c>
      <c r="DH8" s="2" t="e">
        <f>#REF!+"y@4!&lt;9"</f>
        <v>#REF!</v>
      </c>
      <c r="DI8" s="2" t="e">
        <f>#REF!+"y@4!&lt;:"</f>
        <v>#REF!</v>
      </c>
      <c r="DJ8" s="2" t="e">
        <f>#REF!+"y@4!&lt;;"</f>
        <v>#REF!</v>
      </c>
      <c r="DK8" s="2" t="e">
        <f>#REF!+"y@4!&lt;&lt;"</f>
        <v>#REF!</v>
      </c>
      <c r="DL8" t="e">
        <f>#REF!+"y@4!&lt;="</f>
        <v>#REF!</v>
      </c>
      <c r="DM8" t="e">
        <f>#REF!+"y@4!&lt;&gt;"</f>
        <v>#REF!</v>
      </c>
      <c r="DN8" t="e">
        <f>#REF!+"y@4!&lt;?"</f>
        <v>#REF!</v>
      </c>
      <c r="DO8" t="e">
        <f>#REF!+"y@4!&lt;@"</f>
        <v>#REF!</v>
      </c>
      <c r="DP8" t="e">
        <f>#REF!+"y@4!&lt;A"</f>
        <v>#REF!</v>
      </c>
      <c r="DQ8" t="e">
        <f>#REF!+"y@4!&lt;B"</f>
        <v>#REF!</v>
      </c>
      <c r="DR8" t="e">
        <f>#REF!+"y@4!&lt;C"</f>
        <v>#REF!</v>
      </c>
      <c r="DS8" t="e">
        <f>#REF!+"y@4!&lt;D"</f>
        <v>#REF!</v>
      </c>
      <c r="DT8" t="e">
        <f>#REF!+"y@4!&lt;E"</f>
        <v>#REF!</v>
      </c>
      <c r="DU8" t="e">
        <f>#REF!+"y@4!&lt;F"</f>
        <v>#REF!</v>
      </c>
      <c r="DV8" s="2" t="e">
        <f>#REF!+"y@4!&lt;G"</f>
        <v>#REF!</v>
      </c>
      <c r="DW8" t="e">
        <f>#REF!+"y@4!&lt;H"</f>
        <v>#REF!</v>
      </c>
      <c r="DX8" s="2" t="e">
        <f>#REF!+"y@4!&lt;I"</f>
        <v>#REF!</v>
      </c>
      <c r="DY8" s="2" t="e">
        <f>#REF!+"y@4!&lt;J"</f>
        <v>#REF!</v>
      </c>
      <c r="DZ8" s="2" t="e">
        <f>#REF!+"y@4!&lt;K"</f>
        <v>#REF!</v>
      </c>
      <c r="EA8" s="2" t="e">
        <f>#REF!+"y@4!&lt;L"</f>
        <v>#REF!</v>
      </c>
      <c r="EB8" t="e">
        <f>#REF!+"y@4!&lt;M"</f>
        <v>#REF!</v>
      </c>
      <c r="EC8" t="e">
        <f>#REF!+"y@4!&lt;N"</f>
        <v>#REF!</v>
      </c>
      <c r="ED8" t="e">
        <f>#REF!+"y@4!&lt;O"</f>
        <v>#REF!</v>
      </c>
      <c r="EE8" t="e">
        <f>#REF!+"y@4!&lt;P"</f>
        <v>#REF!</v>
      </c>
      <c r="EF8" t="e">
        <f>#REF!+"y@4!&lt;Q"</f>
        <v>#REF!</v>
      </c>
      <c r="EG8" t="e">
        <f>#REF!+"y@4!&lt;R"</f>
        <v>#REF!</v>
      </c>
      <c r="EH8" t="e">
        <f>#REF!+"y@4!&lt;S"</f>
        <v>#REF!</v>
      </c>
      <c r="EI8" t="e">
        <f>#REF!+"y@4!&lt;T"</f>
        <v>#REF!</v>
      </c>
      <c r="EJ8" t="e">
        <f>#REF!+"y@4!&lt;U"</f>
        <v>#REF!</v>
      </c>
      <c r="EK8" t="e">
        <f>#REF!+"y@4!&lt;V"</f>
        <v>#REF!</v>
      </c>
      <c r="EL8" s="2" t="e">
        <f>#REF!+"y@4!&lt;W"</f>
        <v>#REF!</v>
      </c>
      <c r="EM8" t="e">
        <f>#REF!+"y@4!&lt;X"</f>
        <v>#REF!</v>
      </c>
      <c r="EN8" s="2" t="e">
        <f>#REF!+"y@4!&lt;Y"</f>
        <v>#REF!</v>
      </c>
      <c r="EO8" s="2" t="e">
        <f>#REF!+"y@4!&lt;Z"</f>
        <v>#REF!</v>
      </c>
      <c r="EP8" s="2" t="e">
        <f>#REF!+"y@4!&lt;["</f>
        <v>#REF!</v>
      </c>
      <c r="EQ8" s="2" t="e">
        <f>#REF!+"y@4!&lt;\"</f>
        <v>#REF!</v>
      </c>
      <c r="ER8" t="e">
        <f>#REF!+"y@4!&lt;]"</f>
        <v>#REF!</v>
      </c>
      <c r="ES8" t="e">
        <f>#REF!+"y@4!&lt;^"</f>
        <v>#REF!</v>
      </c>
      <c r="ET8" t="e">
        <f>#REF!+"y@4!&lt;_"</f>
        <v>#REF!</v>
      </c>
      <c r="EU8" t="e">
        <f>#REF!+"y@4!&lt;`"</f>
        <v>#REF!</v>
      </c>
      <c r="EV8" t="e">
        <f>#REF!+"y@4!&lt;a"</f>
        <v>#REF!</v>
      </c>
      <c r="EW8" t="e">
        <f>#REF!+"y@4!&lt;b"</f>
        <v>#REF!</v>
      </c>
      <c r="EX8" t="e">
        <f>#REF!+"y@4!&lt;c"</f>
        <v>#REF!</v>
      </c>
      <c r="EY8" t="e">
        <f>#REF!+"y@4!&lt;d"</f>
        <v>#REF!</v>
      </c>
      <c r="EZ8" t="e">
        <f>#REF!+"y@4!&lt;e"</f>
        <v>#REF!</v>
      </c>
      <c r="FA8" t="e">
        <f>#REF!+"y@4!&lt;f"</f>
        <v>#REF!</v>
      </c>
      <c r="FB8" s="2" t="e">
        <f>#REF!+"y@4!&lt;g"</f>
        <v>#REF!</v>
      </c>
      <c r="FC8" t="e">
        <f>#REF!+"y@4!&lt;h"</f>
        <v>#REF!</v>
      </c>
      <c r="FD8" s="2" t="e">
        <f>#REF!+"y@4!&lt;i"</f>
        <v>#REF!</v>
      </c>
      <c r="FE8" s="2" t="e">
        <f>#REF!+"y@4!&lt;j"</f>
        <v>#REF!</v>
      </c>
      <c r="FF8" s="2" t="e">
        <f>#REF!+"y@4!&lt;k"</f>
        <v>#REF!</v>
      </c>
      <c r="FG8" s="2" t="e">
        <f>#REF!+"y@4!&lt;l"</f>
        <v>#REF!</v>
      </c>
      <c r="FH8" t="e">
        <f>#REF!+"y@4!&lt;m"</f>
        <v>#REF!</v>
      </c>
      <c r="FI8" t="e">
        <f>#REF!+"y@4!&lt;n"</f>
        <v>#REF!</v>
      </c>
      <c r="FJ8" t="e">
        <f>#REF!+"y@4!&lt;o"</f>
        <v>#REF!</v>
      </c>
      <c r="FK8" t="e">
        <f>#REF!+"y@4!&lt;p"</f>
        <v>#REF!</v>
      </c>
      <c r="FL8" t="e">
        <f>#REF!+"y@4!&lt;q"</f>
        <v>#REF!</v>
      </c>
      <c r="FM8" t="e">
        <f>#REF!+"y@4!&lt;r"</f>
        <v>#REF!</v>
      </c>
      <c r="FN8" t="e">
        <f>#REF!+"y@4!&lt;s"</f>
        <v>#REF!</v>
      </c>
      <c r="FO8" t="e">
        <f>#REF!+"y@4!&lt;t"</f>
        <v>#REF!</v>
      </c>
      <c r="FP8" t="e">
        <f>#REF!+"y@4!&lt;u"</f>
        <v>#REF!</v>
      </c>
      <c r="FQ8" t="e">
        <f>#REF!+"y@4!&lt;v"</f>
        <v>#REF!</v>
      </c>
      <c r="FR8" s="2" t="e">
        <f>#REF!+"y@4!&lt;w"</f>
        <v>#REF!</v>
      </c>
      <c r="FS8" t="e">
        <f>#REF!+"y@4!&lt;x"</f>
        <v>#REF!</v>
      </c>
      <c r="FT8" s="2" t="e">
        <f>#REF!+"y@4!&lt;y"</f>
        <v>#REF!</v>
      </c>
      <c r="FU8" s="2" t="e">
        <f>#REF!+"y@4!&lt;z"</f>
        <v>#REF!</v>
      </c>
      <c r="FV8" s="2" t="e">
        <f>#REF!+"y@4!&lt;{"</f>
        <v>#REF!</v>
      </c>
      <c r="FW8" s="2" t="e">
        <f>#REF!+"y@4!&lt;|"</f>
        <v>#REF!</v>
      </c>
      <c r="FX8" t="e">
        <f>#REF!+"y@4!&lt;}"</f>
        <v>#REF!</v>
      </c>
      <c r="FY8" t="e">
        <f>#REF!+"y@4!&lt;~"</f>
        <v>#REF!</v>
      </c>
      <c r="FZ8" t="e">
        <f>#REF!+"y@4!=#"</f>
        <v>#REF!</v>
      </c>
      <c r="GA8" t="e">
        <f>#REF!+"y@4!=$"</f>
        <v>#REF!</v>
      </c>
      <c r="GB8" t="e">
        <f>#REF!+"y@4!=%"</f>
        <v>#REF!</v>
      </c>
      <c r="GC8" t="e">
        <f>#REF!+"y@4!=&amp;"</f>
        <v>#REF!</v>
      </c>
      <c r="GD8" t="e">
        <f>#REF!+"y@4!='"</f>
        <v>#REF!</v>
      </c>
      <c r="GE8" t="e">
        <f>#REF!+"y@4!=("</f>
        <v>#REF!</v>
      </c>
      <c r="GF8" t="e">
        <f>#REF!+"y@4!=)"</f>
        <v>#REF!</v>
      </c>
      <c r="GG8" t="e">
        <f>#REF!+"y@4!=."</f>
        <v>#REF!</v>
      </c>
      <c r="GH8" s="2" t="e">
        <f>#REF!+"y@4!=/"</f>
        <v>#REF!</v>
      </c>
      <c r="GI8" t="e">
        <f>#REF!+"y@4!=0"</f>
        <v>#REF!</v>
      </c>
      <c r="GJ8" s="2" t="e">
        <f>#REF!+"y@4!=1"</f>
        <v>#REF!</v>
      </c>
      <c r="GK8" s="2" t="e">
        <f>#REF!+"y@4!=2"</f>
        <v>#REF!</v>
      </c>
      <c r="GL8" s="2" t="e">
        <f>#REF!+"y@4!=3"</f>
        <v>#REF!</v>
      </c>
      <c r="GM8" s="2" t="e">
        <f>#REF!+"y@4!=4"</f>
        <v>#REF!</v>
      </c>
      <c r="GN8" t="e">
        <f>#REF!+"y@4!=5"</f>
        <v>#REF!</v>
      </c>
      <c r="GO8" t="e">
        <f>#REF!+"y@4!=6"</f>
        <v>#REF!</v>
      </c>
      <c r="GP8" t="e">
        <f>#REF!+"y@4!=7"</f>
        <v>#REF!</v>
      </c>
      <c r="GQ8" t="e">
        <f>#REF!+"y@4!=8"</f>
        <v>#REF!</v>
      </c>
      <c r="GR8" t="e">
        <f>#REF!+"y@4!=9"</f>
        <v>#REF!</v>
      </c>
      <c r="GS8" t="e">
        <f>#REF!+"y@4!=:"</f>
        <v>#REF!</v>
      </c>
      <c r="GT8" t="e">
        <f>#REF!+"y@4!=;"</f>
        <v>#REF!</v>
      </c>
      <c r="GU8" t="e">
        <f>#REF!+"y@4!=&lt;"</f>
        <v>#REF!</v>
      </c>
      <c r="GV8" t="e">
        <f>#REF!+"y@4!=="</f>
        <v>#REF!</v>
      </c>
      <c r="GW8" t="e">
        <f>#REF!+"y@4!=&gt;"</f>
        <v>#REF!</v>
      </c>
      <c r="GX8" s="2" t="e">
        <f>#REF!+"y@4!=?"</f>
        <v>#REF!</v>
      </c>
      <c r="GY8" t="e">
        <f>#REF!+"y@4!=@"</f>
        <v>#REF!</v>
      </c>
      <c r="GZ8" s="2" t="e">
        <f>#REF!+"y@4!=A"</f>
        <v>#REF!</v>
      </c>
      <c r="HA8" s="2" t="e">
        <f>#REF!+"y@4!=B"</f>
        <v>#REF!</v>
      </c>
      <c r="HB8" s="2" t="e">
        <f>#REF!+"y@4!=C"</f>
        <v>#REF!</v>
      </c>
      <c r="HC8" s="2" t="e">
        <f>#REF!+"y@4!=D"</f>
        <v>#REF!</v>
      </c>
      <c r="HD8" t="e">
        <f>#REF!+"y@4!=E"</f>
        <v>#REF!</v>
      </c>
      <c r="HE8" t="e">
        <f>#REF!+"y@4!=F"</f>
        <v>#REF!</v>
      </c>
      <c r="HF8" t="e">
        <f>#REF!+"y@4!=G"</f>
        <v>#REF!</v>
      </c>
      <c r="HG8" t="e">
        <f>#REF!+"y@4!=H"</f>
        <v>#REF!</v>
      </c>
      <c r="HH8" t="e">
        <f>#REF!+"y@4!=I"</f>
        <v>#REF!</v>
      </c>
      <c r="HI8" t="e">
        <f>#REF!+"y@4!=J"</f>
        <v>#REF!</v>
      </c>
      <c r="HJ8" t="e">
        <f>#REF!+"y@4!=K"</f>
        <v>#REF!</v>
      </c>
      <c r="HK8" t="e">
        <f>#REF!+"y@4!=L"</f>
        <v>#REF!</v>
      </c>
      <c r="HL8" t="e">
        <f>#REF!+"y@4!=M"</f>
        <v>#REF!</v>
      </c>
      <c r="HM8" t="e">
        <f>#REF!+"y@4!=N"</f>
        <v>#REF!</v>
      </c>
      <c r="HN8" s="2" t="e">
        <f>#REF!+"y@4!=O"</f>
        <v>#REF!</v>
      </c>
      <c r="HO8" t="e">
        <f>#REF!+"y@4!=P"</f>
        <v>#REF!</v>
      </c>
      <c r="HP8" s="2" t="e">
        <f>#REF!+"y@4!=Q"</f>
        <v>#REF!</v>
      </c>
      <c r="HQ8" s="2" t="e">
        <f>#REF!+"y@4!=R"</f>
        <v>#REF!</v>
      </c>
      <c r="HR8" s="2" t="e">
        <f>#REF!+"y@4!=S"</f>
        <v>#REF!</v>
      </c>
      <c r="HS8" s="2" t="e">
        <f>#REF!+"y@4!=T"</f>
        <v>#REF!</v>
      </c>
      <c r="HT8" t="e">
        <f>#REF!+"y@4!=U"</f>
        <v>#REF!</v>
      </c>
      <c r="HU8" t="e">
        <f>#REF!+"y@4!=V"</f>
        <v>#REF!</v>
      </c>
      <c r="HV8" t="e">
        <f>#REF!+"y@4!=W"</f>
        <v>#REF!</v>
      </c>
      <c r="HW8" t="e">
        <f>#REF!+"y@4!=X"</f>
        <v>#REF!</v>
      </c>
      <c r="HX8" t="e">
        <f>#REF!+"y@4!=Y"</f>
        <v>#REF!</v>
      </c>
      <c r="HY8" t="e">
        <f>#REF!+"y@4!=Z"</f>
        <v>#REF!</v>
      </c>
      <c r="HZ8" t="e">
        <f>#REF!+"y@4!=["</f>
        <v>#REF!</v>
      </c>
      <c r="IA8" t="e">
        <f>#REF!+"y@4!=\"</f>
        <v>#REF!</v>
      </c>
      <c r="IB8" t="e">
        <f>#REF!+"y@4!=]"</f>
        <v>#REF!</v>
      </c>
      <c r="IC8" t="e">
        <f>#REF!+"y@4!=^"</f>
        <v>#REF!</v>
      </c>
      <c r="ID8" s="2" t="e">
        <f>#REF!+"y@4!=_"</f>
        <v>#REF!</v>
      </c>
      <c r="IE8" t="e">
        <f>#REF!+"y@4!=`"</f>
        <v>#REF!</v>
      </c>
      <c r="IF8" s="2" t="e">
        <f>#REF!+"y@4!=a"</f>
        <v>#REF!</v>
      </c>
      <c r="IG8" s="2" t="e">
        <f>#REF!+"y@4!=b"</f>
        <v>#REF!</v>
      </c>
      <c r="IH8" s="2" t="e">
        <f>#REF!+"y@4!=c"</f>
        <v>#REF!</v>
      </c>
      <c r="II8" s="2" t="e">
        <f>#REF!+"y@4!=d"</f>
        <v>#REF!</v>
      </c>
      <c r="IJ8" t="e">
        <f>#REF!+"y@4!=e"</f>
        <v>#REF!</v>
      </c>
      <c r="IK8" t="e">
        <f>#REF!+"y@4!=f"</f>
        <v>#REF!</v>
      </c>
      <c r="IL8" t="e">
        <f>#REF!+"y@4!=g"</f>
        <v>#REF!</v>
      </c>
      <c r="IM8" t="e">
        <f>#REF!+"y@4!=h"</f>
        <v>#REF!</v>
      </c>
      <c r="IN8" t="e">
        <f>#REF!+"y@4!=i"</f>
        <v>#REF!</v>
      </c>
      <c r="IO8" t="e">
        <f>#REF!+"y@4!=j"</f>
        <v>#REF!</v>
      </c>
      <c r="IP8" t="e">
        <f>#REF!+"y@4!=k"</f>
        <v>#REF!</v>
      </c>
      <c r="IQ8" t="e">
        <f>#REF!+"y@4!=l"</f>
        <v>#REF!</v>
      </c>
      <c r="IR8" t="e">
        <f>#REF!+"y@4!=m"</f>
        <v>#REF!</v>
      </c>
      <c r="IS8" t="e">
        <f>#REF!+"y@4!=n"</f>
        <v>#REF!</v>
      </c>
      <c r="IT8" s="2" t="e">
        <f>#REF!+"y@4!=o"</f>
        <v>#REF!</v>
      </c>
      <c r="IU8" t="e">
        <f>#REF!+"y@4!=p"</f>
        <v>#REF!</v>
      </c>
      <c r="IV8" s="2" t="e">
        <f>#REF!+"y@4!=q"</f>
        <v>#REF!</v>
      </c>
    </row>
    <row r="9" spans="1:256" x14ac:dyDescent="0.25">
      <c r="F9" s="2" t="e">
        <f>#REF!+"y@4!=r"</f>
        <v>#REF!</v>
      </c>
      <c r="G9" s="2" t="e">
        <f>#REF!+"y@4!=s"</f>
        <v>#REF!</v>
      </c>
      <c r="H9" s="2" t="e">
        <f>#REF!+"y@4!=t"</f>
        <v>#REF!</v>
      </c>
      <c r="I9" t="e">
        <f>#REF!+"y@4!=u"</f>
        <v>#REF!</v>
      </c>
      <c r="J9" t="e">
        <f>#REF!+"y@4!=v"</f>
        <v>#REF!</v>
      </c>
      <c r="K9" t="e">
        <f>#REF!+"y@4!=w"</f>
        <v>#REF!</v>
      </c>
      <c r="L9" t="e">
        <f>#REF!+"y@4!=x"</f>
        <v>#REF!</v>
      </c>
      <c r="M9" t="e">
        <f>#REF!+"y@4!=y"</f>
        <v>#REF!</v>
      </c>
      <c r="N9" t="e">
        <f>#REF!+"y@4!=z"</f>
        <v>#REF!</v>
      </c>
      <c r="O9" t="e">
        <f>#REF!+"y@4!={"</f>
        <v>#REF!</v>
      </c>
      <c r="P9" t="e">
        <f>#REF!+"y@4!=|"</f>
        <v>#REF!</v>
      </c>
      <c r="Q9" t="e">
        <f>#REF!+"y@4!=}"</f>
        <v>#REF!</v>
      </c>
      <c r="R9" t="e">
        <f>#REF!+"y@4!=~"</f>
        <v>#REF!</v>
      </c>
      <c r="S9" s="2" t="e">
        <f>#REF!+"y@4!&gt;#"</f>
        <v>#REF!</v>
      </c>
      <c r="T9" t="e">
        <f>#REF!+"y@4!&gt;$"</f>
        <v>#REF!</v>
      </c>
      <c r="U9" s="2" t="e">
        <f>#REF!+"y@4!&gt;%"</f>
        <v>#REF!</v>
      </c>
      <c r="V9" s="2" t="e">
        <f>#REF!+"y@4!&gt;&amp;"</f>
        <v>#REF!</v>
      </c>
      <c r="W9" s="2" t="e">
        <f>#REF!+"y@4!&gt;'"</f>
        <v>#REF!</v>
      </c>
      <c r="X9" s="2" t="e">
        <f>#REF!+"y@4!&gt;("</f>
        <v>#REF!</v>
      </c>
      <c r="Y9" t="e">
        <f>#REF!+"y@4!&gt;)"</f>
        <v>#REF!</v>
      </c>
      <c r="Z9" t="e">
        <f>#REF!+"y@4!&gt;."</f>
        <v>#REF!</v>
      </c>
      <c r="AA9" t="e">
        <f>#REF!+"y@4!&gt;/"</f>
        <v>#REF!</v>
      </c>
      <c r="AB9" t="e">
        <f>#REF!+"y@4!&gt;0"</f>
        <v>#REF!</v>
      </c>
      <c r="AC9" t="e">
        <f>#REF!+"y@4!&gt;1"</f>
        <v>#REF!</v>
      </c>
      <c r="AD9" t="e">
        <f>#REF!+"y@4!&gt;2"</f>
        <v>#REF!</v>
      </c>
      <c r="AE9" t="e">
        <f>#REF!+"y@4!&gt;3"</f>
        <v>#REF!</v>
      </c>
      <c r="AF9" t="e">
        <f>#REF!+"y@4!&gt;4"</f>
        <v>#REF!</v>
      </c>
      <c r="AG9" t="e">
        <f>#REF!+"y@4!&gt;5"</f>
        <v>#REF!</v>
      </c>
      <c r="AH9" t="e">
        <f>#REF!+"y@4!&gt;6"</f>
        <v>#REF!</v>
      </c>
      <c r="AI9" s="2" t="e">
        <f>#REF!+"y@4!&gt;7"</f>
        <v>#REF!</v>
      </c>
      <c r="AJ9" t="e">
        <f>#REF!+"y@4!&gt;8"</f>
        <v>#REF!</v>
      </c>
      <c r="AK9" s="2" t="e">
        <f>#REF!+"y@4!&gt;9"</f>
        <v>#REF!</v>
      </c>
      <c r="AL9" s="2" t="e">
        <f>#REF!+"y@4!&gt;:"</f>
        <v>#REF!</v>
      </c>
      <c r="AM9" s="2" t="e">
        <f>#REF!+"y@4!&gt;;"</f>
        <v>#REF!</v>
      </c>
      <c r="AN9" s="2" t="e">
        <f>#REF!+"y@4!&gt;&lt;"</f>
        <v>#REF!</v>
      </c>
      <c r="AO9" t="e">
        <f>#REF!+"y@4!&gt;="</f>
        <v>#REF!</v>
      </c>
      <c r="AP9" t="e">
        <f>#REF!+"y@4!&gt;&gt;"</f>
        <v>#REF!</v>
      </c>
      <c r="AQ9" t="e">
        <f>#REF!+"y@4!&gt;?"</f>
        <v>#REF!</v>
      </c>
      <c r="AR9" t="e">
        <f>#REF!+"y@4!&gt;@"</f>
        <v>#REF!</v>
      </c>
      <c r="AS9" t="e">
        <f>#REF!+"y@4!&gt;A"</f>
        <v>#REF!</v>
      </c>
      <c r="AT9" t="e">
        <f>#REF!+"y@4!&gt;B"</f>
        <v>#REF!</v>
      </c>
      <c r="AU9" t="e">
        <f>#REF!+"y@4!&gt;C"</f>
        <v>#REF!</v>
      </c>
      <c r="AV9" t="e">
        <f>#REF!+"y@4!&gt;D"</f>
        <v>#REF!</v>
      </c>
      <c r="AW9" t="e">
        <f>#REF!+"y@4!&gt;E"</f>
        <v>#REF!</v>
      </c>
      <c r="AX9" t="e">
        <f>#REF!+"y@4!&gt;F"</f>
        <v>#REF!</v>
      </c>
      <c r="AY9" s="2" t="e">
        <f>#REF!+"y@4!&gt;G"</f>
        <v>#REF!</v>
      </c>
      <c r="AZ9" t="e">
        <f>#REF!+"y@4!&gt;H"</f>
        <v>#REF!</v>
      </c>
      <c r="BA9" s="2" t="e">
        <f>#REF!+"y@4!&gt;I"</f>
        <v>#REF!</v>
      </c>
      <c r="BB9" s="2" t="e">
        <f>#REF!+"y@4!&gt;J"</f>
        <v>#REF!</v>
      </c>
      <c r="BC9" s="2" t="e">
        <f>#REF!+"y@4!&gt;K"</f>
        <v>#REF!</v>
      </c>
      <c r="BD9" s="2" t="e">
        <f>#REF!+"y@4!&gt;L"</f>
        <v>#REF!</v>
      </c>
      <c r="BE9" t="e">
        <f>#REF!+"y@4!&gt;M"</f>
        <v>#REF!</v>
      </c>
      <c r="BF9" t="e">
        <f>#REF!+"y@4!&gt;N"</f>
        <v>#REF!</v>
      </c>
      <c r="BG9" t="e">
        <f>#REF!+"y@4!&gt;O"</f>
        <v>#REF!</v>
      </c>
      <c r="BH9" t="e">
        <f>#REF!+"y@4!&gt;P"</f>
        <v>#REF!</v>
      </c>
      <c r="BI9" t="e">
        <f>#REF!+"y@4!&gt;Q"</f>
        <v>#REF!</v>
      </c>
      <c r="BJ9" t="e">
        <f>#REF!+"y@4!&gt;R"</f>
        <v>#REF!</v>
      </c>
      <c r="BK9" t="e">
        <f>#REF!+"y@4!&gt;S"</f>
        <v>#REF!</v>
      </c>
      <c r="BL9" t="e">
        <f>#REF!+"y@4!&gt;T"</f>
        <v>#REF!</v>
      </c>
      <c r="BM9" t="e">
        <f>#REF!+"y@4!&gt;U"</f>
        <v>#REF!</v>
      </c>
      <c r="BN9" t="e">
        <f>#REF!+"y@4!&gt;V"</f>
        <v>#REF!</v>
      </c>
      <c r="BO9" s="2" t="e">
        <f>#REF!+"y@4!&gt;W"</f>
        <v>#REF!</v>
      </c>
      <c r="BP9" t="e">
        <f>#REF!+"y@4!&gt;X"</f>
        <v>#REF!</v>
      </c>
      <c r="BQ9" s="2" t="e">
        <f>#REF!+"y@4!&gt;Y"</f>
        <v>#REF!</v>
      </c>
      <c r="BR9" s="2" t="e">
        <f>#REF!+"y@4!&gt;Z"</f>
        <v>#REF!</v>
      </c>
      <c r="BS9" s="2" t="e">
        <f>#REF!+"y@4!&gt;["</f>
        <v>#REF!</v>
      </c>
      <c r="BT9" s="2" t="e">
        <f>#REF!+"y@4!&gt;\"</f>
        <v>#REF!</v>
      </c>
      <c r="BU9" t="e">
        <f>#REF!+"y@4!&gt;]"</f>
        <v>#REF!</v>
      </c>
      <c r="BV9" t="e">
        <f>#REF!+"y@4!&gt;^"</f>
        <v>#REF!</v>
      </c>
      <c r="BW9" t="e">
        <f>#REF!+"y@4!&gt;_"</f>
        <v>#REF!</v>
      </c>
      <c r="BX9" t="e">
        <f>#REF!+"y@4!&gt;`"</f>
        <v>#REF!</v>
      </c>
      <c r="BY9" t="e">
        <f>#REF!+"y@4!&gt;a"</f>
        <v>#REF!</v>
      </c>
      <c r="BZ9" t="e">
        <f>#REF!+"y@4!&gt;b"</f>
        <v>#REF!</v>
      </c>
      <c r="CA9" t="e">
        <f>#REF!+"y@4!&gt;c"</f>
        <v>#REF!</v>
      </c>
      <c r="CB9" t="e">
        <f>#REF!+"y@4!&gt;d"</f>
        <v>#REF!</v>
      </c>
      <c r="CC9" t="e">
        <f>#REF!+"y@4!&gt;e"</f>
        <v>#REF!</v>
      </c>
      <c r="CD9" t="e">
        <f>#REF!+"y@4!&gt;f"</f>
        <v>#REF!</v>
      </c>
      <c r="CE9" s="2" t="e">
        <f>#REF!+"y@4!&gt;g"</f>
        <v>#REF!</v>
      </c>
      <c r="CF9" t="e">
        <f>#REF!+"y@4!&gt;h"</f>
        <v>#REF!</v>
      </c>
      <c r="CG9" s="2" t="e">
        <f>#REF!+"y@4!&gt;i"</f>
        <v>#REF!</v>
      </c>
      <c r="CH9" s="2" t="e">
        <f>#REF!+"y@4!&gt;j"</f>
        <v>#REF!</v>
      </c>
      <c r="CI9" s="2" t="e">
        <f>#REF!+"y@4!&gt;k"</f>
        <v>#REF!</v>
      </c>
      <c r="CJ9" s="2" t="e">
        <f>#REF!+"y@4!&gt;l"</f>
        <v>#REF!</v>
      </c>
      <c r="CK9" t="e">
        <f>#REF!+"y@4!&gt;m"</f>
        <v>#REF!</v>
      </c>
      <c r="CL9" t="e">
        <f>#REF!+"y@4!&gt;n"</f>
        <v>#REF!</v>
      </c>
      <c r="CM9" t="e">
        <f>#REF!+"y@4!&gt;o"</f>
        <v>#REF!</v>
      </c>
      <c r="CN9" t="e">
        <f>#REF!+"y@4!&gt;p"</f>
        <v>#REF!</v>
      </c>
      <c r="CO9" t="e">
        <f>#REF!+"y@4!&gt;q"</f>
        <v>#REF!</v>
      </c>
      <c r="CP9" t="e">
        <f>#REF!+"y@4!&gt;r"</f>
        <v>#REF!</v>
      </c>
      <c r="CQ9" t="e">
        <f>#REF!+"y@4!&gt;s"</f>
        <v>#REF!</v>
      </c>
      <c r="CR9" t="e">
        <f>#REF!+"y@4!&gt;t"</f>
        <v>#REF!</v>
      </c>
      <c r="CS9" t="e">
        <f>#REF!+"y@4!&gt;u"</f>
        <v>#REF!</v>
      </c>
      <c r="CT9" t="e">
        <f>#REF!+"y@4!&gt;v"</f>
        <v>#REF!</v>
      </c>
      <c r="CU9" s="2" t="e">
        <f>#REF!+"y@4!&gt;w"</f>
        <v>#REF!</v>
      </c>
      <c r="CV9" t="e">
        <f>#REF!+"y@4!&gt;x"</f>
        <v>#REF!</v>
      </c>
      <c r="CW9" s="2" t="e">
        <f>#REF!+"y@4!&gt;y"</f>
        <v>#REF!</v>
      </c>
      <c r="CX9" s="2" t="e">
        <f>#REF!+"y@4!&gt;z"</f>
        <v>#REF!</v>
      </c>
      <c r="CY9" s="2" t="e">
        <f>#REF!+"y@4!&gt;{"</f>
        <v>#REF!</v>
      </c>
      <c r="CZ9" s="2" t="e">
        <f>#REF!+"y@4!&gt;|"</f>
        <v>#REF!</v>
      </c>
      <c r="DA9" t="e">
        <f>#REF!+"y@4!&gt;}"</f>
        <v>#REF!</v>
      </c>
      <c r="DB9" t="e">
        <f>#REF!+"y@4!&gt;~"</f>
        <v>#REF!</v>
      </c>
      <c r="DC9" t="e">
        <f>#REF!+"y@4!?#"</f>
        <v>#REF!</v>
      </c>
      <c r="DD9" t="e">
        <f>#REF!+"y@4!?$"</f>
        <v>#REF!</v>
      </c>
      <c r="DE9" t="e">
        <f>#REF!+"y@4!?%"</f>
        <v>#REF!</v>
      </c>
      <c r="DF9" t="e">
        <f>#REF!+"y@4!?&amp;"</f>
        <v>#REF!</v>
      </c>
      <c r="DG9" t="e">
        <f>#REF!+"y@4!?'"</f>
        <v>#REF!</v>
      </c>
      <c r="DH9" t="e">
        <f>#REF!+"y@4!?("</f>
        <v>#REF!</v>
      </c>
      <c r="DI9" t="e">
        <f>#REF!+"y@4!?)"</f>
        <v>#REF!</v>
      </c>
      <c r="DJ9" t="e">
        <f>#REF!+"y@4!?."</f>
        <v>#REF!</v>
      </c>
      <c r="DK9" s="2" t="e">
        <f>#REF!+"y@4!?/"</f>
        <v>#REF!</v>
      </c>
      <c r="DL9" t="e">
        <f>#REF!+"y@4!?0"</f>
        <v>#REF!</v>
      </c>
      <c r="DM9" s="2" t="e">
        <f>#REF!+"y@4!?1"</f>
        <v>#REF!</v>
      </c>
      <c r="DN9" s="2" t="e">
        <f>#REF!+"y@4!?2"</f>
        <v>#REF!</v>
      </c>
      <c r="DO9" s="2" t="e">
        <f>#REF!+"y@4!?3"</f>
        <v>#REF!</v>
      </c>
      <c r="DP9" s="2" t="e">
        <f>#REF!+"y@4!?4"</f>
        <v>#REF!</v>
      </c>
      <c r="DQ9" t="e">
        <f>#REF!+"y@4!?5"</f>
        <v>#REF!</v>
      </c>
      <c r="DR9" t="e">
        <f>#REF!+"y@4!?6"</f>
        <v>#REF!</v>
      </c>
      <c r="DS9" t="e">
        <f>#REF!+"y@4!?7"</f>
        <v>#REF!</v>
      </c>
      <c r="DT9" t="e">
        <f>#REF!+"y@4!?8"</f>
        <v>#REF!</v>
      </c>
      <c r="DU9" t="e">
        <f>#REF!+"y@4!?9"</f>
        <v>#REF!</v>
      </c>
      <c r="DV9" t="e">
        <f>#REF!+"y@4!?:"</f>
        <v>#REF!</v>
      </c>
      <c r="DW9" t="e">
        <f>#REF!+"y@4!?;"</f>
        <v>#REF!</v>
      </c>
      <c r="DX9" t="e">
        <f>#REF!+"y@4!?&lt;"</f>
        <v>#REF!</v>
      </c>
      <c r="DY9" t="e">
        <f>#REF!+"y@4!?="</f>
        <v>#REF!</v>
      </c>
      <c r="DZ9" t="e">
        <f>#REF!+"y@4!?&gt;"</f>
        <v>#REF!</v>
      </c>
      <c r="EA9" s="2" t="e">
        <f>#REF!+"y@4!??"</f>
        <v>#REF!</v>
      </c>
      <c r="EB9" t="e">
        <f>#REF!+"y@4!?@"</f>
        <v>#REF!</v>
      </c>
      <c r="EC9" s="2" t="e">
        <f>#REF!+"y@4!?A"</f>
        <v>#REF!</v>
      </c>
      <c r="ED9" s="2" t="e">
        <f>#REF!+"y@4!?B"</f>
        <v>#REF!</v>
      </c>
      <c r="EE9" s="2" t="e">
        <f>#REF!+"y@4!?C"</f>
        <v>#REF!</v>
      </c>
      <c r="EF9" s="2" t="e">
        <f>#REF!+"y@4!?D"</f>
        <v>#REF!</v>
      </c>
      <c r="EG9" t="e">
        <f>#REF!+"y@4!?E"</f>
        <v>#REF!</v>
      </c>
      <c r="EH9" t="e">
        <f>#REF!+"y@4!?F"</f>
        <v>#REF!</v>
      </c>
      <c r="EI9" t="e">
        <f>#REF!+"y@4!?G"</f>
        <v>#REF!</v>
      </c>
      <c r="EJ9" t="e">
        <f>#REF!+"y@4!?H"</f>
        <v>#REF!</v>
      </c>
      <c r="EK9" t="e">
        <f>#REF!+"y@4!?I"</f>
        <v>#REF!</v>
      </c>
      <c r="EL9" t="e">
        <f>#REF!+"y@4!?J"</f>
        <v>#REF!</v>
      </c>
      <c r="EM9" t="e">
        <f>#REF!+"y@4!?K"</f>
        <v>#REF!</v>
      </c>
      <c r="EN9" t="e">
        <f>#REF!+"y@4!?L"</f>
        <v>#REF!</v>
      </c>
      <c r="EO9" t="e">
        <f>#REF!+"y@4!?M"</f>
        <v>#REF!</v>
      </c>
      <c r="EP9" t="e">
        <f>#REF!+"y@4!?N"</f>
        <v>#REF!</v>
      </c>
      <c r="EQ9" s="2" t="e">
        <f>#REF!+"y@4!?O"</f>
        <v>#REF!</v>
      </c>
      <c r="ER9" t="e">
        <f>#REF!+"y@4!?P"</f>
        <v>#REF!</v>
      </c>
      <c r="ES9" s="2" t="e">
        <f>#REF!+"y@4!?Q"</f>
        <v>#REF!</v>
      </c>
      <c r="ET9" s="2" t="e">
        <f>#REF!+"y@4!?R"</f>
        <v>#REF!</v>
      </c>
      <c r="EU9" s="2" t="e">
        <f>#REF!+"y@4!?S"</f>
        <v>#REF!</v>
      </c>
      <c r="EV9" s="2" t="e">
        <f>#REF!+"y@4!?T"</f>
        <v>#REF!</v>
      </c>
      <c r="EW9" t="e">
        <f>#REF!+"y@4!?U"</f>
        <v>#REF!</v>
      </c>
      <c r="EX9" t="e">
        <f>#REF!+"y@4!?V"</f>
        <v>#REF!</v>
      </c>
      <c r="EY9" t="e">
        <f>#REF!+"y@4!?W"</f>
        <v>#REF!</v>
      </c>
      <c r="EZ9" t="e">
        <f>#REF!+"y@4!?X"</f>
        <v>#REF!</v>
      </c>
      <c r="FA9" t="e">
        <f>#REF!+"y@4!?Y"</f>
        <v>#REF!</v>
      </c>
      <c r="FB9" t="e">
        <f>#REF!+"y@4!?Z"</f>
        <v>#REF!</v>
      </c>
      <c r="FC9" t="e">
        <f>#REF!+"y@4!?["</f>
        <v>#REF!</v>
      </c>
      <c r="FD9" t="e">
        <f>#REF!+"y@4!?\"</f>
        <v>#REF!</v>
      </c>
      <c r="FE9" t="e">
        <f>#REF!+"y@4!?]"</f>
        <v>#REF!</v>
      </c>
      <c r="FF9" t="e">
        <f>#REF!+"y@4!?^"</f>
        <v>#REF!</v>
      </c>
      <c r="FG9" s="2" t="e">
        <f>#REF!+"y@4!?_"</f>
        <v>#REF!</v>
      </c>
      <c r="FH9" t="e">
        <f>#REF!+"y@4!?`"</f>
        <v>#REF!</v>
      </c>
      <c r="FI9" s="2" t="e">
        <f>#REF!+"y@4!?a"</f>
        <v>#REF!</v>
      </c>
      <c r="FJ9" s="2" t="e">
        <f>#REF!+"y@4!?b"</f>
        <v>#REF!</v>
      </c>
      <c r="FK9" s="2" t="e">
        <f>#REF!+"y@4!?c"</f>
        <v>#REF!</v>
      </c>
      <c r="FL9" s="2" t="e">
        <f>#REF!+"y@4!?d"</f>
        <v>#REF!</v>
      </c>
      <c r="FM9" t="e">
        <f>#REF!+"y@4!?e"</f>
        <v>#REF!</v>
      </c>
      <c r="FN9" t="e">
        <f>#REF!+"y@4!?f"</f>
        <v>#REF!</v>
      </c>
      <c r="FO9" t="e">
        <f>#REF!+"y@4!?g"</f>
        <v>#REF!</v>
      </c>
      <c r="FP9" t="e">
        <f>#REF!+"y@4!?h"</f>
        <v>#REF!</v>
      </c>
      <c r="FQ9" t="e">
        <f>#REF!+"y@4!?i"</f>
        <v>#REF!</v>
      </c>
      <c r="FR9" t="e">
        <f>#REF!+"y@4!?j"</f>
        <v>#REF!</v>
      </c>
      <c r="FS9" t="e">
        <f>#REF!+"y@4!?k"</f>
        <v>#REF!</v>
      </c>
      <c r="FT9" t="e">
        <f>#REF!+"y@4!?l"</f>
        <v>#REF!</v>
      </c>
      <c r="FU9" t="e">
        <f>#REF!+"y@4!?m"</f>
        <v>#REF!</v>
      </c>
      <c r="FV9" t="e">
        <f>#REF!*"y@4!?n"</f>
        <v>#REF!</v>
      </c>
      <c r="FW9" t="e">
        <f>#REF!*"y@4!?o"</f>
        <v>#REF!</v>
      </c>
      <c r="FX9" t="e">
        <f>#REF!*"y@4!?p"</f>
        <v>#REF!</v>
      </c>
      <c r="FY9" t="e">
        <f>#REF!*"y@4!?q"</f>
        <v>#REF!</v>
      </c>
      <c r="FZ9" t="e">
        <f>_xlfn.SINGLE(#REF!)*"y@4!?r"</f>
        <v>#REF!</v>
      </c>
      <c r="GA9" t="e">
        <f>#REF!*"y@4!?s"</f>
        <v>#REF!</v>
      </c>
      <c r="GB9" t="e">
        <f>#REF!*"y@4!?t"</f>
        <v>#REF!</v>
      </c>
      <c r="GC9" t="e">
        <f>_xlfn.SINGLE(#REF!)*"y@4!?u"</f>
        <v>#REF!</v>
      </c>
      <c r="GD9" t="e">
        <f>#REF!*"y@4!?v"</f>
        <v>#REF!</v>
      </c>
      <c r="GE9" t="e">
        <f>_xlfn.SINGLE(#REF!)*"y@4!?w"</f>
        <v>#REF!</v>
      </c>
      <c r="GF9" t="e">
        <f>#REF!*"y@4!?x"</f>
        <v>#REF!</v>
      </c>
      <c r="GG9" t="e">
        <f>#REF!*"y@4!?y"</f>
        <v>#REF!</v>
      </c>
      <c r="GH9" t="e">
        <f>#REF!*"y@4!?z"</f>
        <v>#REF!</v>
      </c>
      <c r="GI9" t="e">
        <f>#REF!*"y@4!?{"</f>
        <v>#REF!</v>
      </c>
      <c r="GJ9" t="e">
        <f>#REF!*"y@4!?|"</f>
        <v>#REF!</v>
      </c>
      <c r="GK9" t="e">
        <f>#REF!*"y@4!?}"</f>
        <v>#REF!</v>
      </c>
      <c r="GL9" t="e">
        <f>_xlfn.SINGLE(#REF!)*"y@4!?~"</f>
        <v>#REF!</v>
      </c>
      <c r="GM9" t="e">
        <f>#REF!*"y@4!@#"</f>
        <v>#REF!</v>
      </c>
      <c r="GN9" t="e">
        <f>#REF!*"y@4!@$"</f>
        <v>#REF!</v>
      </c>
      <c r="GO9" t="e">
        <f>#REF!*"y@4!@%"</f>
        <v>#REF!</v>
      </c>
      <c r="GP9" t="e">
        <f>#REF!*"y@4!@&amp;"</f>
        <v>#REF!</v>
      </c>
      <c r="GQ9" t="e">
        <f>#REF!*"y@4!@'"</f>
        <v>#REF!</v>
      </c>
      <c r="GR9" t="e">
        <f>#REF!*"y@4!@("</f>
        <v>#REF!</v>
      </c>
      <c r="GS9" t="e">
        <f>#REF!*"y@4!@)"</f>
        <v>#REF!</v>
      </c>
      <c r="GT9" t="e">
        <f>#REF!*"y@4!@."</f>
        <v>#REF!</v>
      </c>
      <c r="GU9" t="e">
        <f>#REF!*"y@4!@/"</f>
        <v>#REF!</v>
      </c>
      <c r="GV9" t="e">
        <f>#REF!*"y@4!@0"</f>
        <v>#REF!</v>
      </c>
      <c r="GW9" t="e">
        <f>#REF!*"y@4!@1"</f>
        <v>#REF!</v>
      </c>
      <c r="GX9" t="e">
        <f>#REF!*"y@4!@2"</f>
        <v>#REF!</v>
      </c>
      <c r="GY9" t="e">
        <f>#REF!*"y@4!@3"</f>
        <v>#REF!</v>
      </c>
      <c r="GZ9" t="e">
        <f>#REF!*"y@4!@4"</f>
        <v>#REF!</v>
      </c>
      <c r="HA9" t="e">
        <f>#REF!*"y@4!@5"</f>
        <v>#REF!</v>
      </c>
      <c r="HB9" t="e">
        <f>#REF!*"y@4!@6"</f>
        <v>#REF!</v>
      </c>
      <c r="HC9" t="e">
        <f>#REF!*"y@4!@7"</f>
        <v>#REF!</v>
      </c>
      <c r="HD9" t="e">
        <f>#REF!*"y@4!@8"</f>
        <v>#REF!</v>
      </c>
      <c r="HE9" t="e">
        <f>#REF!*"y@4!@9"</f>
        <v>#REF!</v>
      </c>
      <c r="HF9" t="e">
        <f>#REF!*"y@4!@:"</f>
        <v>#REF!</v>
      </c>
      <c r="HG9" t="e">
        <f>#REF!*"y@4!@;"</f>
        <v>#REF!</v>
      </c>
      <c r="HH9" t="e">
        <f>#REF!*"y@4!@&lt;"</f>
        <v>#REF!</v>
      </c>
      <c r="HI9" t="e">
        <f>#REF!*"y@4!@="</f>
        <v>#REF!</v>
      </c>
      <c r="HJ9" t="e">
        <f>#REF!*"y@4!@&gt;"</f>
        <v>#REF!</v>
      </c>
      <c r="HK9" t="e">
        <f>#REF!*"y@4!@?"</f>
        <v>#REF!</v>
      </c>
      <c r="HL9" t="e">
        <f>#REF!*"y@4!@@"</f>
        <v>#REF!</v>
      </c>
      <c r="HM9" t="e">
        <f>#REF!*"y@4!@A"</f>
        <v>#REF!</v>
      </c>
      <c r="HN9" t="e">
        <f>#REF!*"y@4!@B"</f>
        <v>#REF!</v>
      </c>
      <c r="HO9" t="e">
        <f>#REF!*"y@4!@C"</f>
        <v>#REF!</v>
      </c>
      <c r="HP9" t="e">
        <f>#REF!*"y@4!@D"</f>
        <v>#REF!</v>
      </c>
      <c r="HQ9" t="e">
        <f>#REF!*"y@4!@E"</f>
        <v>#REF!</v>
      </c>
      <c r="HR9" t="e">
        <f>#REF!*"y@4!@F"</f>
        <v>#REF!</v>
      </c>
      <c r="HS9" t="e">
        <f>#REF!*"y@4!@G"</f>
        <v>#REF!</v>
      </c>
      <c r="HT9" t="e">
        <f>#REF!*"y@4!@H"</f>
        <v>#REF!</v>
      </c>
      <c r="HU9" t="e">
        <f>#REF!*"y@4!@I"</f>
        <v>#REF!</v>
      </c>
      <c r="HV9" t="e">
        <f>#REF!*"y@4!@J"</f>
        <v>#REF!</v>
      </c>
      <c r="HW9" t="e">
        <f>#REF!*"y@4!@K"</f>
        <v>#REF!</v>
      </c>
      <c r="HX9" t="e">
        <f>#REF!*"y@4!@L"</f>
        <v>#REF!</v>
      </c>
      <c r="HY9" t="e">
        <f>#REF!*"y@4!@M"</f>
        <v>#REF!</v>
      </c>
      <c r="HZ9" t="e">
        <f>#REF!*"y@4!@N"</f>
        <v>#REF!</v>
      </c>
      <c r="IA9" t="e">
        <f>#REF!*"y@4!@O"</f>
        <v>#REF!</v>
      </c>
      <c r="IB9" t="e">
        <f>#REF!*"y@4!@P"</f>
        <v>#REF!</v>
      </c>
      <c r="IC9" t="e">
        <f>#REF!*"y@4!@Q"</f>
        <v>#REF!</v>
      </c>
      <c r="ID9" t="e">
        <f>#REF!*"y@4!@R"</f>
        <v>#REF!</v>
      </c>
      <c r="IE9" t="e">
        <f>#REF!*"y@4!@S"</f>
        <v>#REF!</v>
      </c>
      <c r="IF9" t="e">
        <f>#REF!*"y@4!@T"</f>
        <v>#REF!</v>
      </c>
      <c r="IG9" t="e">
        <f>#REF!*"y@4!@U"</f>
        <v>#REF!</v>
      </c>
      <c r="IH9" t="e">
        <f>#REF!*"y@4!@V"</f>
        <v>#REF!</v>
      </c>
      <c r="II9" t="e">
        <f>#REF!*"y@4!@W"</f>
        <v>#REF!</v>
      </c>
      <c r="IJ9" t="e">
        <f>#REF!*"y@4!@X"</f>
        <v>#REF!</v>
      </c>
      <c r="IK9" t="e">
        <f>#REF!-"y@4!@Y"</f>
        <v>#REF!</v>
      </c>
      <c r="IL9" t="e">
        <f>#REF!-"y@4!@Z"</f>
        <v>#REF!</v>
      </c>
      <c r="IM9" t="e">
        <f>#REF!-"y@4!@["</f>
        <v>#REF!</v>
      </c>
      <c r="IN9" t="e">
        <f>_xlfn.SINGLE(#REF!)-"y@4!@\"</f>
        <v>#REF!</v>
      </c>
      <c r="IO9" t="e">
        <f>_xlfn.SINGLE(#REF!)-"y@4!@]"</f>
        <v>#REF!</v>
      </c>
      <c r="IP9" t="e">
        <f>_xlfn.SINGLE(#REF!)-"y@4!@^"</f>
        <v>#REF!</v>
      </c>
      <c r="IQ9" t="e">
        <f>_xlfn.SINGLE(#REF!)-"y@4!@_"</f>
        <v>#REF!</v>
      </c>
      <c r="IR9" t="e">
        <f>_xlfn.SINGLE(#REF!)-"y@4!@`"</f>
        <v>#REF!</v>
      </c>
      <c r="IS9" t="e">
        <f>_xlfn.SINGLE(#REF!)-"y@4!@a"</f>
        <v>#REF!</v>
      </c>
      <c r="IT9" t="e">
        <f>_xlfn.SINGLE(#REF!)-"y@4!@b"</f>
        <v>#REF!</v>
      </c>
      <c r="IU9" t="e">
        <f>_xlfn.SINGLE(#REF!)-"y@4!@c"</f>
        <v>#REF!</v>
      </c>
      <c r="IV9" t="e">
        <f>_xlfn.SINGLE(#REF!)-"y@4!@d"</f>
        <v>#REF!</v>
      </c>
    </row>
    <row r="10" spans="1:256" x14ac:dyDescent="0.25">
      <c r="F10" t="e">
        <f>_xlfn.SINGLE(#REF!)-"y@4!@e"</f>
        <v>#REF!</v>
      </c>
      <c r="G10" t="e">
        <f>_xlfn.SINGLE(#REF!)-"y@4!@f"</f>
        <v>#REF!</v>
      </c>
      <c r="H10" t="e">
        <f>_xlfn.SINGLE(#REF!)-"y@4!@g"</f>
        <v>#REF!</v>
      </c>
      <c r="I10" t="e">
        <f>_xlfn.SINGLE(#REF!)-"y@4!@h"</f>
        <v>#REF!</v>
      </c>
      <c r="J10" t="e">
        <f>_xlfn.SINGLE(#REF!)-"y@4!@i"</f>
        <v>#REF!</v>
      </c>
      <c r="K10" t="e">
        <f>_xlfn.SINGLE(#REF!)-"y@4!@j"</f>
        <v>#REF!</v>
      </c>
      <c r="L10" t="e">
        <f>_xlfn.SINGLE(#REF!)-"y@4!@k"</f>
        <v>#REF!</v>
      </c>
      <c r="M10" t="e">
        <f>_xlfn.SINGLE(#REF!)-"y@4!@l"</f>
        <v>#REF!</v>
      </c>
      <c r="N10" t="e">
        <f>_xlfn.SINGLE(#REF!)-"y@4!@m"</f>
        <v>#REF!</v>
      </c>
      <c r="O10" t="e">
        <f>_xlfn.SINGLE(#REF!)-"y@4!@n"</f>
        <v>#REF!</v>
      </c>
      <c r="P10" t="e">
        <f>_xlfn.SINGLE(#REF!)-"y@4!@o"</f>
        <v>#REF!</v>
      </c>
      <c r="Q10" t="e">
        <f>_xlfn.SINGLE(#REF!)-"y@4!@p"</f>
        <v>#REF!</v>
      </c>
      <c r="R10" t="e">
        <f>_xlfn.SINGLE(#REF!)-"y@4!@q"</f>
        <v>#REF!</v>
      </c>
      <c r="S10" t="e">
        <f>_xlfn.SINGLE(#REF!)-"y@4!@r"</f>
        <v>#REF!</v>
      </c>
      <c r="T10" t="e">
        <f>_xlfn.SINGLE(#REF!)-"y@4!@s"</f>
        <v>#REF!</v>
      </c>
      <c r="U10" t="e">
        <f>_xlfn.SINGLE(#REF!)-"y@4!@t"</f>
        <v>#REF!</v>
      </c>
      <c r="V10" t="e">
        <f>_xlfn.SINGLE(#REF!)-"y@4!@u"</f>
        <v>#REF!</v>
      </c>
      <c r="W10" t="e">
        <f>_xlfn.SINGLE(#REF!)-"y@4!@v"</f>
        <v>#REF!</v>
      </c>
      <c r="X10" t="e">
        <f>_xlfn.SINGLE(#REF!)-"y@4!@w"</f>
        <v>#REF!</v>
      </c>
      <c r="Y10" t="e">
        <f>_xlfn.SINGLE(#REF!)-"y@4!@x"</f>
        <v>#REF!</v>
      </c>
      <c r="Z10" t="e">
        <f>_xlfn.SINGLE(#REF!)-"y@4!@y"</f>
        <v>#REF!</v>
      </c>
      <c r="AA10" t="e">
        <f>_xlfn.SINGLE(#REF!)-"y@4!@z"</f>
        <v>#REF!</v>
      </c>
      <c r="AB10" t="e">
        <f>_xlfn.SINGLE(#REF!)-"y@4!@{"</f>
        <v>#REF!</v>
      </c>
      <c r="AC10" t="e">
        <f>_xlfn.SINGLE(#REF!)-"y@4!@|"</f>
        <v>#REF!</v>
      </c>
      <c r="AD10" t="e">
        <f>_xlfn.SINGLE(#REF!)-"y@4!@}"</f>
        <v>#REF!</v>
      </c>
      <c r="AE10" t="e">
        <f>_xlfn.SINGLE(#REF!)-"y@4!@~"</f>
        <v>#REF!</v>
      </c>
      <c r="AF10" t="e">
        <f>_xlfn.SINGLE(#REF!)-"y@4!A#"</f>
        <v>#REF!</v>
      </c>
      <c r="AG10" t="e">
        <f>_xlfn.SINGLE(#REF!)-"y@4!A$"</f>
        <v>#REF!</v>
      </c>
      <c r="AH10" t="e">
        <f>_xlfn.SINGLE(#REF!)-"y@4!A%"</f>
        <v>#REF!</v>
      </c>
      <c r="AI10" t="e">
        <f>_xlfn.SINGLE(#REF!)-"y@4!A&amp;"</f>
        <v>#REF!</v>
      </c>
      <c r="AJ10" t="e">
        <f>_xlfn.SINGLE(#REF!)-"y@4!A'"</f>
        <v>#REF!</v>
      </c>
      <c r="AK10" t="e">
        <f>_xlfn.SINGLE(#REF!)-"y@4!A("</f>
        <v>#REF!</v>
      </c>
      <c r="AL10" t="e">
        <f>_xlfn.SINGLE(#REF!)-"y@4!A)"</f>
        <v>#REF!</v>
      </c>
      <c r="AM10" t="e">
        <f>_xlfn.SINGLE(#REF!)-"y@4!A."</f>
        <v>#REF!</v>
      </c>
      <c r="AN10" t="e">
        <f>_xlfn.SINGLE(#REF!)-"y@4!A/"</f>
        <v>#REF!</v>
      </c>
      <c r="AO10" t="e">
        <f>_xlfn.SINGLE(#REF!)-"y@4!A0"</f>
        <v>#REF!</v>
      </c>
      <c r="AP10" t="e">
        <f>_xlfn.SINGLE(#REF!)-"y@4!A1"</f>
        <v>#REF!</v>
      </c>
      <c r="AQ10" t="e">
        <f>_xlfn.SINGLE(#REF!)-"y@4!A2"</f>
        <v>#REF!</v>
      </c>
      <c r="AR10" t="e">
        <f>_xlfn.SINGLE(#REF!)-"y@4!A3"</f>
        <v>#REF!</v>
      </c>
      <c r="AS10" t="e">
        <f>_xlfn.SINGLE(#REF!)-"y@4!A4"</f>
        <v>#REF!</v>
      </c>
      <c r="AT10" t="e">
        <f>_xlfn.SINGLE(#REF!)-"y@4!A5"</f>
        <v>#REF!</v>
      </c>
      <c r="AU10" t="e">
        <f>_xlfn.SINGLE(#REF!)-"y@4!A6"</f>
        <v>#REF!</v>
      </c>
      <c r="AV10" t="e">
        <f>_xlfn.SINGLE(#REF!)-"y@4!A7"</f>
        <v>#REF!</v>
      </c>
      <c r="AW10" t="e">
        <f>_xlfn.SINGLE(#REF!)-"y@4!A8"</f>
        <v>#REF!</v>
      </c>
      <c r="AX10" t="e">
        <f>_xlfn.SINGLE(#REF!)-"y@4!A9"</f>
        <v>#REF!</v>
      </c>
      <c r="AY10" t="e">
        <f>_xlfn.SINGLE(#REF!)-"y@4!A:"</f>
        <v>#REF!</v>
      </c>
      <c r="AZ10" t="e">
        <f>_xlfn.SINGLE(#REF!)-"y@4!A;"</f>
        <v>#REF!</v>
      </c>
      <c r="BA10" t="e">
        <f>_xlfn.SINGLE(#REF!)-"y@4!A&lt;"</f>
        <v>#REF!</v>
      </c>
      <c r="BB10" t="e">
        <f>_xlfn.SINGLE(#REF!)-"y@4!A="</f>
        <v>#REF!</v>
      </c>
      <c r="BC10" t="e">
        <f>_xlfn.SINGLE(#REF!)-"y@4!A&gt;"</f>
        <v>#REF!</v>
      </c>
      <c r="BD10" t="e">
        <f>_xlfn.SINGLE(#REF!)-"y@4!A?"</f>
        <v>#REF!</v>
      </c>
      <c r="BE10" t="e">
        <f>_xlfn.SINGLE(#REF!)-"y@4!A@"</f>
        <v>#REF!</v>
      </c>
      <c r="BF10" t="e">
        <f>_xlfn.SINGLE(#REF!)-"y@4!AA"</f>
        <v>#REF!</v>
      </c>
      <c r="BG10" t="e">
        <f>_xlfn.SINGLE(#REF!)-"y@4!AB"</f>
        <v>#REF!</v>
      </c>
      <c r="BH10" t="e">
        <f>_xlfn.SINGLE(#REF!)-"y@4!AC"</f>
        <v>#REF!</v>
      </c>
      <c r="BI10" t="e">
        <f>_xlfn.SINGLE(#REF!)-"y@4!AD"</f>
        <v>#REF!</v>
      </c>
      <c r="BJ10" t="e">
        <f>_xlfn.SINGLE(#REF!)-"y@4!AE"</f>
        <v>#REF!</v>
      </c>
      <c r="BK10" t="e">
        <f>_xlfn.SINGLE(#REF!)-"y@4!AF"</f>
        <v>#REF!</v>
      </c>
      <c r="BL10" t="e">
        <f>_xlfn.SINGLE(#REF!)-"y@4!AG"</f>
        <v>#REF!</v>
      </c>
      <c r="BM10" t="e">
        <f>_xlfn.SINGLE(#REF!)-"y@4!AH"</f>
        <v>#REF!</v>
      </c>
      <c r="BN10" t="e">
        <f>_xlfn.SINGLE(#REF!)-"y@4!AI"</f>
        <v>#REF!</v>
      </c>
      <c r="BO10" t="e">
        <f>_xlfn.SINGLE(#REF!)-"y@4!AJ"</f>
        <v>#REF!</v>
      </c>
      <c r="BP10" t="e">
        <f>_xlfn.SINGLE(#REF!)-"y@4!AK"</f>
        <v>#REF!</v>
      </c>
      <c r="BQ10" t="e">
        <f>_xlfn.SINGLE(#REF!)-"y@4!AL"</f>
        <v>#REF!</v>
      </c>
      <c r="BR10" t="e">
        <f>_xlfn.SINGLE(#REF!)-"y@4!AM"</f>
        <v>#REF!</v>
      </c>
      <c r="BS10" t="e">
        <f>_xlfn.SINGLE(#REF!)-"y@4!AN"</f>
        <v>#REF!</v>
      </c>
      <c r="BT10" t="e">
        <f>_xlfn.SINGLE(#REF!)-"y@4!AO"</f>
        <v>#REF!</v>
      </c>
      <c r="BU10" t="e">
        <f>_xlfn.SINGLE(#REF!)-"y@4!AP"</f>
        <v>#REF!</v>
      </c>
      <c r="BV10" t="e">
        <f>_xlfn.SINGLE(#REF!)-"y@4!AQ"</f>
        <v>#REF!</v>
      </c>
      <c r="BW10" t="e">
        <f>_xlfn.SINGLE(#REF!)-"y@4!AR"</f>
        <v>#REF!</v>
      </c>
      <c r="BX10" t="e">
        <f>_xlfn.SINGLE(#REF!)-"y@4!AS"</f>
        <v>#REF!</v>
      </c>
      <c r="BY10" t="e">
        <f>_xlfn.SINGLE(#REF!)-"y@4!AT"</f>
        <v>#REF!</v>
      </c>
      <c r="BZ10" t="e">
        <f>_xlfn.SINGLE(#REF!)-"y@4!AU"</f>
        <v>#REF!</v>
      </c>
      <c r="CA10" t="e">
        <f>_xlfn.SINGLE(#REF!)-"y@4!AV"</f>
        <v>#REF!</v>
      </c>
      <c r="CB10" t="e">
        <f>_xlfn.SINGLE(#REF!)-"y@4!AW"</f>
        <v>#REF!</v>
      </c>
      <c r="CC10" t="e">
        <f>_xlfn.SINGLE(#REF!)-"y@4!AX"</f>
        <v>#REF!</v>
      </c>
      <c r="CD10" t="e">
        <f>_xlfn.SINGLE(#REF!)-"y@4!AY"</f>
        <v>#REF!</v>
      </c>
      <c r="CE10" t="e">
        <f>_xlfn.SINGLE(#REF!)-"y@4!AZ"</f>
        <v>#REF!</v>
      </c>
      <c r="CF10" t="e">
        <f>_xlfn.SINGLE(#REF!)-"y@4!A["</f>
        <v>#REF!</v>
      </c>
      <c r="CG10" t="e">
        <f>_xlfn.SINGLE(#REF!)-"y@4!A\"</f>
        <v>#REF!</v>
      </c>
      <c r="CH10" t="e">
        <f>_xlfn.SINGLE(#REF!)-"y@4!A]"</f>
        <v>#REF!</v>
      </c>
      <c r="CI10" t="e">
        <f>_xlfn.SINGLE(#REF!)-"y@4!A^"</f>
        <v>#REF!</v>
      </c>
      <c r="CJ10" t="e">
        <f>_xlfn.SINGLE(#REF!)-"y@4!A_"</f>
        <v>#REF!</v>
      </c>
      <c r="CK10" t="e">
        <f>_xlfn.SINGLE(#REF!)-"y@4!A`"</f>
        <v>#REF!</v>
      </c>
      <c r="CL10" t="e">
        <f>_xlfn.SINGLE(#REF!)-"y@4!Aa"</f>
        <v>#REF!</v>
      </c>
      <c r="CM10" t="e">
        <f>_xlfn.SINGLE(#REF!)-"y@4!Ab"</f>
        <v>#REF!</v>
      </c>
      <c r="CN10" t="e">
        <f>_xlfn.SINGLE(#REF!)-"y@4!Ac"</f>
        <v>#REF!</v>
      </c>
      <c r="CO10" t="e">
        <f>_xlfn.SINGLE(#REF!)-"y@4!Ad"</f>
        <v>#REF!</v>
      </c>
      <c r="CP10" t="e">
        <f>_xlfn.SINGLE(#REF!)-"y@4!Ae"</f>
        <v>#REF!</v>
      </c>
      <c r="CQ10" t="e">
        <f>_xlfn.SINGLE(#REF!)-"y@4!Af"</f>
        <v>#REF!</v>
      </c>
      <c r="CR10" t="e">
        <f>_xlfn.SINGLE(#REF!)-"y@4!Ag"</f>
        <v>#REF!</v>
      </c>
      <c r="CS10" t="e">
        <f>_xlfn.SINGLE(#REF!)-"y@4!Ah"</f>
        <v>#REF!</v>
      </c>
      <c r="CT10" t="e">
        <f>_xlfn.SINGLE(#REF!)-"y@4!Ai"</f>
        <v>#REF!</v>
      </c>
      <c r="CU10" t="e">
        <f>_xlfn.SINGLE(#REF!)-"y@4!Aj"</f>
        <v>#REF!</v>
      </c>
      <c r="CV10" t="e">
        <f>_xlfn.SINGLE(#REF!)-"y@4!Ak"</f>
        <v>#REF!</v>
      </c>
      <c r="CW10" t="e">
        <f>_xlfn.SINGLE(#REF!)-"y@4!Al"</f>
        <v>#REF!</v>
      </c>
      <c r="CX10" t="e">
        <f>_xlfn.SINGLE(#REF!)-"y@4!Am"</f>
        <v>#REF!</v>
      </c>
      <c r="CY10" t="e">
        <f>_xlfn.SINGLE(#REF!)-"y@4!An"</f>
        <v>#REF!</v>
      </c>
      <c r="CZ10" t="e">
        <f>_xlfn.SINGLE(#REF!)-"y@4!Ao"</f>
        <v>#REF!</v>
      </c>
      <c r="DA10" t="e">
        <f>_xlfn.SINGLE(#REF!)-"y@4!Ap"</f>
        <v>#REF!</v>
      </c>
      <c r="DB10" t="e">
        <f>_xlfn.SINGLE(#REF!)-"y@4!Aq"</f>
        <v>#REF!</v>
      </c>
      <c r="DC10" t="e">
        <f>_xlfn.SINGLE(#REF!)-"y@4!Ar"</f>
        <v>#REF!</v>
      </c>
      <c r="DD10" t="e">
        <f>_xlfn.SINGLE(#REF!)-"y@4!As"</f>
        <v>#REF!</v>
      </c>
      <c r="DE10" t="e">
        <f>_xlfn.SINGLE(#REF!)-"y@4!At"</f>
        <v>#REF!</v>
      </c>
      <c r="DF10" t="e">
        <f>#REF!-"y@4!Au"</f>
        <v>#REF!</v>
      </c>
      <c r="DG10" t="e">
        <f>#REF!-"y@4!Av"</f>
        <v>#REF!</v>
      </c>
      <c r="DH10" t="e">
        <f>#REF!-"y@4!Aw"</f>
        <v>#REF!</v>
      </c>
      <c r="DI10" t="e">
        <f>#REF!-"y@4!Ax"</f>
        <v>#REF!</v>
      </c>
      <c r="DJ10" t="e">
        <f>#REF!-"y@4!Ay"</f>
        <v>#REF!</v>
      </c>
      <c r="DK10" t="e">
        <f>#REF!-"y@4!Az"</f>
        <v>#REF!</v>
      </c>
      <c r="DL10" t="e">
        <f>#REF!-"y@4!A{"</f>
        <v>#REF!</v>
      </c>
      <c r="DM10" t="e">
        <f>#REF!-"y@4!A|"</f>
        <v>#REF!</v>
      </c>
      <c r="DN10" t="e">
        <f>#REF!-"y@4!A}"</f>
        <v>#REF!</v>
      </c>
      <c r="DO10" t="e">
        <f>#REF!-"y@4!A~"</f>
        <v>#REF!</v>
      </c>
      <c r="DP10" t="e">
        <f>#REF!-"y@4!B#"</f>
        <v>#REF!</v>
      </c>
      <c r="DQ10" t="e">
        <f>#REF!-"y@4!B$"</f>
        <v>#REF!</v>
      </c>
      <c r="DR10" t="e">
        <f>#REF!-"y@4!B%"</f>
        <v>#REF!</v>
      </c>
      <c r="DS10" t="e">
        <f>#REF!-"y@4!B&amp;"</f>
        <v>#REF!</v>
      </c>
      <c r="DT10" t="e">
        <f>#REF!-"y@4!B'"</f>
        <v>#REF!</v>
      </c>
      <c r="DU10" t="e">
        <f>#REF!-"y@4!B("</f>
        <v>#REF!</v>
      </c>
      <c r="DV10" t="e">
        <f>#REF!-"y@4!B)"</f>
        <v>#REF!</v>
      </c>
      <c r="DW10" t="e">
        <f>#REF!-"y@4!B."</f>
        <v>#REF!</v>
      </c>
      <c r="DX10" t="e">
        <f>#REF!-"y@4!B/"</f>
        <v>#REF!</v>
      </c>
      <c r="DY10" t="e">
        <f>#REF!-"y@4!B0"</f>
        <v>#REF!</v>
      </c>
      <c r="DZ10" t="e">
        <f>#REF!-"y@4!B1"</f>
        <v>#REF!</v>
      </c>
      <c r="EA10" t="e">
        <f>#REF!-"y@4!B2"</f>
        <v>#REF!</v>
      </c>
      <c r="EB10" t="e">
        <f>#REF!-"y@4!B3"</f>
        <v>#REF!</v>
      </c>
      <c r="EC10" t="e">
        <f>#REF!-"y@4!B4"</f>
        <v>#REF!</v>
      </c>
      <c r="ED10" t="e">
        <f>#REF!-"y@4!B5"</f>
        <v>#REF!</v>
      </c>
      <c r="EE10" t="e">
        <f>#REF!-"y@4!B6"</f>
        <v>#REF!</v>
      </c>
      <c r="EF10" t="e">
        <f>#REF!-"y@4!B7"</f>
        <v>#REF!</v>
      </c>
      <c r="EG10" t="e">
        <f>#REF!-"y@4!B8"</f>
        <v>#REF!</v>
      </c>
      <c r="EH10" t="e">
        <f>#REF!-"y@4!B9"</f>
        <v>#REF!</v>
      </c>
      <c r="EI10" t="e">
        <f>#REF!-"y@4!B:"</f>
        <v>#REF!</v>
      </c>
      <c r="EJ10" t="e">
        <f>#REF!-"y@4!B;"</f>
        <v>#REF!</v>
      </c>
      <c r="EK10" t="e">
        <f>#REF!-"y@4!B&lt;"</f>
        <v>#REF!</v>
      </c>
      <c r="EL10" t="e">
        <f>#REF!-"y@4!B="</f>
        <v>#REF!</v>
      </c>
      <c r="EM10" t="e">
        <f>#REF!-"y@4!B&gt;"</f>
        <v>#REF!</v>
      </c>
      <c r="EN10" t="e">
        <f>#REF!-"y@4!B?"</f>
        <v>#REF!</v>
      </c>
      <c r="EO10" t="e">
        <f>#REF!-"y@4!B@"</f>
        <v>#REF!</v>
      </c>
      <c r="EP10" t="e">
        <f>#REF!-"y@4!BA"</f>
        <v>#REF!</v>
      </c>
      <c r="EQ10" t="e">
        <f>#REF!-"y@4!BB"</f>
        <v>#REF!</v>
      </c>
      <c r="ER10" t="e">
        <f>#REF!-"y@4!BC"</f>
        <v>#REF!</v>
      </c>
      <c r="ES10" t="e">
        <f>#REF!-"y@4!BD"</f>
        <v>#REF!</v>
      </c>
      <c r="ET10" t="e">
        <f>#REF!-"y@4!BE"</f>
        <v>#REF!</v>
      </c>
      <c r="EU10" t="e">
        <f>#REF!-"y@4!BF"</f>
        <v>#REF!</v>
      </c>
      <c r="EV10" t="e">
        <f>#REF!-"y@4!BG"</f>
        <v>#REF!</v>
      </c>
      <c r="EW10" t="e">
        <f>#REF!-"y@4!BH"</f>
        <v>#REF!</v>
      </c>
      <c r="EX10" t="e">
        <f>#REF!-"y@4!BI"</f>
        <v>#REF!</v>
      </c>
      <c r="EY10" t="e">
        <f>#REF!-"y@4!BJ"</f>
        <v>#REF!</v>
      </c>
      <c r="EZ10" t="e">
        <f>#REF!-"y@4!BK"</f>
        <v>#REF!</v>
      </c>
      <c r="FA10" t="e">
        <f>#REF!-"y@4!BL"</f>
        <v>#REF!</v>
      </c>
      <c r="FB10" t="e">
        <f>#REF!-"y@4!BM"</f>
        <v>#REF!</v>
      </c>
      <c r="FC10" t="e">
        <f>#REF!-"y@4!BN"</f>
        <v>#REF!</v>
      </c>
      <c r="FD10" t="e">
        <f>#REF!-"y@4!BO"</f>
        <v>#REF!</v>
      </c>
      <c r="FE10" t="e">
        <f>#REF!-"y@4!BP"</f>
        <v>#REF!</v>
      </c>
      <c r="FF10" t="e">
        <f>#REF!-"y@4!BQ"</f>
        <v>#REF!</v>
      </c>
      <c r="FG10" t="e">
        <f>#REF!-"y@4!BR"</f>
        <v>#REF!</v>
      </c>
      <c r="FH10" t="e">
        <f>#REF!-"y@4!BS"</f>
        <v>#REF!</v>
      </c>
      <c r="FI10" t="e">
        <f>#REF!-"y@4!BT"</f>
        <v>#REF!</v>
      </c>
      <c r="FJ10" t="e">
        <f>_xlfn.SINGLE(#REF!)-"y@4!BU"</f>
        <v>#REF!</v>
      </c>
      <c r="FK10" t="e">
        <f>_xlfn.SINGLE(#REF!)-"y@4!BV"</f>
        <v>#REF!</v>
      </c>
      <c r="FL10" t="e">
        <f>_xlfn.SINGLE(#REF!)-"y@4!BW"</f>
        <v>#REF!</v>
      </c>
      <c r="FM10" t="e">
        <f>_xlfn.SINGLE(#REF!)-"y@4!BX"</f>
        <v>#REF!</v>
      </c>
      <c r="FN10" t="e">
        <f>_xlfn.SINGLE(#REF!)-"y@4!BY"</f>
        <v>#REF!</v>
      </c>
      <c r="FO10" t="e">
        <f>_xlfn.SINGLE(#REF!)-"y@4!BZ"</f>
        <v>#REF!</v>
      </c>
      <c r="FP10" t="e">
        <f>_xlfn.SINGLE(#REF!)-"y@4!B["</f>
        <v>#REF!</v>
      </c>
      <c r="FQ10" t="e">
        <f>_xlfn.SINGLE(#REF!)-"y@4!B\"</f>
        <v>#REF!</v>
      </c>
      <c r="FR10" t="e">
        <f>_xlfn.SINGLE(#REF!)-"y@4!B]"</f>
        <v>#REF!</v>
      </c>
      <c r="FS10" t="e">
        <f>_xlfn.SINGLE(#REF!)-"y@4!B^"</f>
        <v>#REF!</v>
      </c>
      <c r="FT10" t="e">
        <f>_xlfn.SINGLE(#REF!)-"y@4!B_"</f>
        <v>#REF!</v>
      </c>
      <c r="FU10" t="e">
        <f>_xlfn.SINGLE(#REF!)-"y@4!B`"</f>
        <v>#REF!</v>
      </c>
      <c r="FV10" t="e">
        <f>_xlfn.SINGLE(#REF!)-"y@4!Ba"</f>
        <v>#REF!</v>
      </c>
      <c r="FW10" t="e">
        <f>_xlfn.SINGLE(#REF!)-"y@4!Bb"</f>
        <v>#REF!</v>
      </c>
      <c r="FX10" t="e">
        <f>_xlfn.SINGLE(#REF!)-"y@4!Bc"</f>
        <v>#REF!</v>
      </c>
      <c r="FY10" t="e">
        <f>_xlfn.SINGLE(#REF!)-"y@4!Bd"</f>
        <v>#REF!</v>
      </c>
      <c r="FZ10" t="e">
        <f>_xlfn.SINGLE(#REF!)-"y@4!Be"</f>
        <v>#REF!</v>
      </c>
      <c r="GA10" t="e">
        <f>_xlfn.SINGLE(#REF!)-"y@4!Bf"</f>
        <v>#REF!</v>
      </c>
      <c r="GB10" t="e">
        <f>_xlfn.SINGLE(#REF!)-"y@4!Bg"</f>
        <v>#REF!</v>
      </c>
      <c r="GC10" t="e">
        <f>_xlfn.SINGLE(#REF!)-"y@4!Bh"</f>
        <v>#REF!</v>
      </c>
      <c r="GD10" t="e">
        <f>_xlfn.SINGLE(#REF!)-"y@4!Bi"</f>
        <v>#REF!</v>
      </c>
      <c r="GE10" t="e">
        <f>_xlfn.SINGLE(#REF!)-"y@4!Bj"</f>
        <v>#REF!</v>
      </c>
      <c r="GF10" t="e">
        <f>_xlfn.SINGLE(#REF!)-"y@4!Bk"</f>
        <v>#REF!</v>
      </c>
      <c r="GG10" t="e">
        <f>_xlfn.SINGLE(#REF!)-"y@4!Bl"</f>
        <v>#REF!</v>
      </c>
      <c r="GH10" t="e">
        <f>_xlfn.SINGLE(#REF!)-"y@4!Bm"</f>
        <v>#REF!</v>
      </c>
      <c r="GI10" t="e">
        <f>_xlfn.SINGLE(#REF!)-"y@4!Bn"</f>
        <v>#REF!</v>
      </c>
      <c r="GJ10" t="e">
        <f>_xlfn.SINGLE(#REF!)-"y@4!Bo"</f>
        <v>#REF!</v>
      </c>
      <c r="GK10" t="e">
        <f>_xlfn.SINGLE(#REF!)-"y@4!Bp"</f>
        <v>#REF!</v>
      </c>
      <c r="GL10" t="e">
        <f>_xlfn.SINGLE(#REF!)-"y@4!Bq"</f>
        <v>#REF!</v>
      </c>
      <c r="GM10" t="e">
        <f>_xlfn.SINGLE(#REF!)-"y@4!Br"</f>
        <v>#REF!</v>
      </c>
      <c r="GN10" t="e">
        <f>_xlfn.SINGLE(#REF!)-"y@4!Bs"</f>
        <v>#REF!</v>
      </c>
      <c r="GO10" t="e">
        <f>_xlfn.SINGLE(#REF!)-"y@4!Bt"</f>
        <v>#REF!</v>
      </c>
      <c r="GP10" t="e">
        <f>_xlfn.SINGLE(#REF!)-"y@4!Bu"</f>
        <v>#REF!</v>
      </c>
      <c r="GQ10" t="e">
        <f>_xlfn.SINGLE(#REF!)-"y@4!Bv"</f>
        <v>#REF!</v>
      </c>
      <c r="GR10" t="e">
        <f>_xlfn.SINGLE(#REF!)-"y@4!Bw"</f>
        <v>#REF!</v>
      </c>
      <c r="GS10" t="e">
        <f>_xlfn.SINGLE(#REF!)-"y@4!Bx"</f>
        <v>#REF!</v>
      </c>
      <c r="GT10" t="e">
        <f>_xlfn.SINGLE(#REF!)-"y@4!By"</f>
        <v>#REF!</v>
      </c>
      <c r="GU10" t="e">
        <f>_xlfn.SINGLE(#REF!)-"y@4!Bz"</f>
        <v>#REF!</v>
      </c>
      <c r="GV10" t="e">
        <f>_xlfn.SINGLE(#REF!)-"y@4!B{"</f>
        <v>#REF!</v>
      </c>
      <c r="GW10" t="e">
        <f>_xlfn.SINGLE(#REF!)-"y@4!B|"</f>
        <v>#REF!</v>
      </c>
      <c r="GX10" t="e">
        <f>_xlfn.SINGLE(#REF!)-"y@4!B}"</f>
        <v>#REF!</v>
      </c>
      <c r="GY10" t="e">
        <f>_xlfn.SINGLE(#REF!)-"y@4!B~"</f>
        <v>#REF!</v>
      </c>
      <c r="GZ10" t="e">
        <f>_xlfn.SINGLE(#REF!)-"y@4!C#"</f>
        <v>#REF!</v>
      </c>
      <c r="HA10" t="e">
        <f>_xlfn.SINGLE(#REF!)-"y@4!C$"</f>
        <v>#REF!</v>
      </c>
      <c r="HB10" t="e">
        <f>_xlfn.SINGLE(#REF!)-"y@4!C%"</f>
        <v>#REF!</v>
      </c>
      <c r="HC10" t="e">
        <f>_xlfn.SINGLE(#REF!)-"y@4!C&amp;"</f>
        <v>#REF!</v>
      </c>
      <c r="HD10" t="e">
        <f>_xlfn.SINGLE(#REF!)-"y@4!C'"</f>
        <v>#REF!</v>
      </c>
      <c r="HE10" t="e">
        <f>_xlfn.SINGLE(#REF!)-"y@4!C("</f>
        <v>#REF!</v>
      </c>
      <c r="HF10" t="e">
        <f>_xlfn.SINGLE(#REF!)-"y@4!C)"</f>
        <v>#REF!</v>
      </c>
      <c r="HG10" t="e">
        <f>_xlfn.SINGLE(#REF!)-"y@4!C."</f>
        <v>#REF!</v>
      </c>
      <c r="HH10" t="e">
        <f>#REF!-"y@4!C/"</f>
        <v>#REF!</v>
      </c>
      <c r="HI10" t="e">
        <f>#REF!-"y@4!C0"</f>
        <v>#REF!</v>
      </c>
      <c r="HJ10" t="e">
        <f>#REF!-"y@4!C1"</f>
        <v>#REF!</v>
      </c>
      <c r="HK10" t="e">
        <f>#REF!-"y@4!C2"</f>
        <v>#REF!</v>
      </c>
      <c r="HL10" t="e">
        <f>#REF!-"y@4!C3"</f>
        <v>#REF!</v>
      </c>
      <c r="HM10" t="e">
        <f>#REF!-"y@4!C4"</f>
        <v>#REF!</v>
      </c>
      <c r="HN10" t="e">
        <f>#REF!-"y@4!C5"</f>
        <v>#REF!</v>
      </c>
      <c r="HO10" t="e">
        <f>#REF!-"y@4!C6"</f>
        <v>#REF!</v>
      </c>
      <c r="HP10" t="e">
        <f>#REF!-"y@4!C7"</f>
        <v>#REF!</v>
      </c>
      <c r="HQ10" t="e">
        <f>#REF!-"y@4!C8"</f>
        <v>#REF!</v>
      </c>
      <c r="HR10" t="e">
        <f>#REF!-"y@4!C9"</f>
        <v>#REF!</v>
      </c>
      <c r="HS10" t="e">
        <f>#REF!-"y@4!C:"</f>
        <v>#REF!</v>
      </c>
      <c r="HT10" t="e">
        <f>#REF!-"y@4!C;"</f>
        <v>#REF!</v>
      </c>
      <c r="HU10" t="e">
        <f>#REF!-"y@4!C&lt;"</f>
        <v>#REF!</v>
      </c>
      <c r="HV10" t="e">
        <f>#REF!-"y@4!C="</f>
        <v>#REF!</v>
      </c>
      <c r="HW10" t="e">
        <f>#REF!-"y@4!C&gt;"</f>
        <v>#REF!</v>
      </c>
      <c r="HX10" t="e">
        <f>#REF!-"y@4!C?"</f>
        <v>#REF!</v>
      </c>
      <c r="HY10" t="e">
        <f>#REF!-"y@4!C@"</f>
        <v>#REF!</v>
      </c>
      <c r="HZ10" t="e">
        <f>#REF!-"y@4!CA"</f>
        <v>#REF!</v>
      </c>
      <c r="IA10" t="e">
        <f>#REF!-"y@4!CB"</f>
        <v>#REF!</v>
      </c>
      <c r="IB10" t="e">
        <f>#REF!-"y@4!CC"</f>
        <v>#REF!</v>
      </c>
      <c r="IC10" t="e">
        <f>#REF!-"y@4!CD"</f>
        <v>#REF!</v>
      </c>
      <c r="ID10" t="e">
        <f>#REF!-"y@4!CE"</f>
        <v>#REF!</v>
      </c>
      <c r="IE10" t="e">
        <f>#REF!-"y@4!CF"</f>
        <v>#REF!</v>
      </c>
      <c r="IF10" t="e">
        <f>#REF!-"y@4!CG"</f>
        <v>#REF!</v>
      </c>
      <c r="IG10" t="e">
        <f>#REF!-"y@4!CH"</f>
        <v>#REF!</v>
      </c>
      <c r="IH10" t="e">
        <f>#REF!-"y@4!CI"</f>
        <v>#REF!</v>
      </c>
      <c r="II10" t="e">
        <f>#REF!-"y@4!CJ"</f>
        <v>#REF!</v>
      </c>
      <c r="IJ10" t="e">
        <f>#REF!-"y@4!CK"</f>
        <v>#REF!</v>
      </c>
      <c r="IK10" t="e">
        <f>#REF!-"y@4!CL"</f>
        <v>#REF!</v>
      </c>
      <c r="IL10" t="e">
        <f>#REF!-"y@4!CM"</f>
        <v>#REF!</v>
      </c>
      <c r="IM10" t="e">
        <f>#REF!-"y@4!CN"</f>
        <v>#REF!</v>
      </c>
      <c r="IN10" t="e">
        <f>#REF!-"y@4!CO"</f>
        <v>#REF!</v>
      </c>
      <c r="IO10" t="e">
        <f>#REF!-"y@4!CP"</f>
        <v>#REF!</v>
      </c>
      <c r="IP10" t="e">
        <f>#REF!-"y@4!CQ"</f>
        <v>#REF!</v>
      </c>
      <c r="IQ10" t="e">
        <f>#REF!-"y@4!CR"</f>
        <v>#REF!</v>
      </c>
      <c r="IR10" t="e">
        <f>#REF!-"y@4!CS"</f>
        <v>#REF!</v>
      </c>
      <c r="IS10" t="e">
        <f>#REF!-"y@4!CT"</f>
        <v>#REF!</v>
      </c>
      <c r="IT10" t="e">
        <f>#REF!-"y@4!CU"</f>
        <v>#REF!</v>
      </c>
      <c r="IU10" t="e">
        <f>#REF!-"y@4!CV"</f>
        <v>#REF!</v>
      </c>
      <c r="IV10" t="e">
        <f>#REF!-"y@4!CW"</f>
        <v>#REF!</v>
      </c>
    </row>
    <row r="11" spans="1:256" x14ac:dyDescent="0.25">
      <c r="F11" t="e">
        <f>#REF!-"y@4!CX"</f>
        <v>#REF!</v>
      </c>
      <c r="G11" t="e">
        <f>#REF!-"y@4!CY"</f>
        <v>#REF!</v>
      </c>
      <c r="H11" t="e">
        <f>#REF!-"y@4!CZ"</f>
        <v>#REF!</v>
      </c>
      <c r="I11" t="e">
        <f>#REF!-"y@4!C["</f>
        <v>#REF!</v>
      </c>
      <c r="J11" t="e">
        <f>#REF!-"y@4!C\"</f>
        <v>#REF!</v>
      </c>
      <c r="K11" t="e">
        <f>#REF!-"y@4!C]"</f>
        <v>#REF!</v>
      </c>
      <c r="L11" t="e">
        <f>#REF!-"y@4!C^"</f>
        <v>#REF!</v>
      </c>
      <c r="M11" t="e">
        <f>#REF!-"y@4!C_"</f>
        <v>#REF!</v>
      </c>
      <c r="N11" t="e">
        <f>#REF!-"y@4!C`"</f>
        <v>#REF!</v>
      </c>
      <c r="O11" t="e">
        <f>#REF!-"y@4!Ca"</f>
        <v>#REF!</v>
      </c>
      <c r="P11" t="e">
        <f>#REF!-"y@4!Cb"</f>
        <v>#REF!</v>
      </c>
      <c r="Q11" t="e">
        <f>#REF!-"y@4!Cc"</f>
        <v>#REF!</v>
      </c>
      <c r="R11" t="e">
        <f>#REF!-"y@4!Cd"</f>
        <v>#REF!</v>
      </c>
      <c r="S11" t="e">
        <f>#REF!-"y@4!Ce"</f>
        <v>#REF!</v>
      </c>
      <c r="T11" t="e">
        <f>#REF!-"y@4!Cf"</f>
        <v>#REF!</v>
      </c>
      <c r="U11" t="e">
        <f>#REF!-"y@4!Cg"</f>
        <v>#REF!</v>
      </c>
      <c r="V11" t="e">
        <f>#REF!-"y@4!Ch"</f>
        <v>#REF!</v>
      </c>
      <c r="W11" t="e">
        <f>#REF!-"y@4!Ci"</f>
        <v>#REF!</v>
      </c>
      <c r="X11" t="e">
        <f>#REF!-"y@4!Cj"</f>
        <v>#REF!</v>
      </c>
      <c r="Y11" t="e">
        <f>#REF!-"y@4!Ck"</f>
        <v>#REF!</v>
      </c>
      <c r="Z11" t="e">
        <f>#REF!-"y@4!Cl"</f>
        <v>#REF!</v>
      </c>
      <c r="AA11" t="e">
        <f>#REF!-"y@4!Cm"</f>
        <v>#REF!</v>
      </c>
      <c r="AB11" t="e">
        <f>#REF!-"y@4!Cn"</f>
        <v>#REF!</v>
      </c>
      <c r="AC11" t="e">
        <f>#REF!-"y@4!Co"</f>
        <v>#REF!</v>
      </c>
      <c r="AD11" t="e">
        <f>#REF!-"y@4!Cp"</f>
        <v>#REF!</v>
      </c>
      <c r="AE11" t="e">
        <f>#REF!-"y@4!Cq"</f>
        <v>#REF!</v>
      </c>
      <c r="AF11" t="e">
        <f>#REF!-"y@4!Cr"</f>
        <v>#REF!</v>
      </c>
      <c r="AG11" t="e">
        <f>#REF!-"y@4!Cs"</f>
        <v>#REF!</v>
      </c>
      <c r="AH11" t="e">
        <f>#REF!-"y@4!Ct"</f>
        <v>#REF!</v>
      </c>
      <c r="AI11" t="e">
        <f>#REF!-"y@4!Cu"</f>
        <v>#REF!</v>
      </c>
      <c r="AJ11" t="e">
        <f>#REF!-"y@4!Cv"</f>
        <v>#REF!</v>
      </c>
      <c r="AK11" t="e">
        <f>#REF!-"y@4!Cw"</f>
        <v>#REF!</v>
      </c>
      <c r="AL11" t="e">
        <f>#REF!-"y@4!Cx"</f>
        <v>#REF!</v>
      </c>
      <c r="AM11" t="e">
        <f>#REF!-"y@4!Cy"</f>
        <v>#REF!</v>
      </c>
      <c r="AN11" t="e">
        <f>#REF!-"y@4!Cz"</f>
        <v>#REF!</v>
      </c>
      <c r="AO11" t="e">
        <f>#REF!-"y@4!C{"</f>
        <v>#REF!</v>
      </c>
      <c r="AP11" t="e">
        <f>#REF!-"y@4!C|"</f>
        <v>#REF!</v>
      </c>
      <c r="AQ11" t="e">
        <f>#REF!-"y@4!C}"</f>
        <v>#REF!</v>
      </c>
      <c r="AR11" t="e">
        <f>#REF!-"y@4!C~"</f>
        <v>#REF!</v>
      </c>
      <c r="AS11" t="e">
        <f>#REF!-"y@4!D#"</f>
        <v>#REF!</v>
      </c>
      <c r="AT11" t="e">
        <f>#REF!-"y@4!D$"</f>
        <v>#REF!</v>
      </c>
      <c r="AU11" t="e">
        <f>#REF!-"y@4!D%"</f>
        <v>#REF!</v>
      </c>
      <c r="AV11" t="e">
        <f>#REF!-"y@4!D&amp;"</f>
        <v>#REF!</v>
      </c>
      <c r="AW11" t="e">
        <f>#REF!-"y@4!D'"</f>
        <v>#REF!</v>
      </c>
      <c r="AX11" t="e">
        <f>#REF!-"y@4!D("</f>
        <v>#REF!</v>
      </c>
      <c r="AY11" t="e">
        <f>#REF!-"y@4!D)"</f>
        <v>#REF!</v>
      </c>
      <c r="AZ11" t="e">
        <f>#REF!-"y@4!D."</f>
        <v>#REF!</v>
      </c>
      <c r="BA11" t="e">
        <f>#REF!-"y@4!D/"</f>
        <v>#REF!</v>
      </c>
      <c r="BB11" t="e">
        <f>#REF!-"y@4!D0"</f>
        <v>#REF!</v>
      </c>
      <c r="BC11" t="e">
        <f>#REF!-"y@4!D1"</f>
        <v>#REF!</v>
      </c>
      <c r="BD11" t="e">
        <f>#REF!-"y@4!D2"</f>
        <v>#REF!</v>
      </c>
      <c r="BE11" t="e">
        <f>#REF!-"y@4!D3"</f>
        <v>#REF!</v>
      </c>
      <c r="BF11" t="e">
        <f>#REF!-"y@4!D4"</f>
        <v>#REF!</v>
      </c>
      <c r="BG11" t="e">
        <f>#REF!+"Ttr!%"</f>
        <v>#REF!</v>
      </c>
      <c r="BH11" t="e">
        <f>#REF!+"Ttr!&amp;"</f>
        <v>#REF!</v>
      </c>
      <c r="BI11" t="e">
        <f>#REF!+"Ttr!'"</f>
        <v>#REF!</v>
      </c>
      <c r="BJ11" t="e">
        <f>#REF!+"Ttr!("</f>
        <v>#REF!</v>
      </c>
      <c r="BK11" t="e">
        <f>#REF!+"Ttr!)"</f>
        <v>#REF!</v>
      </c>
      <c r="BL11" t="e">
        <f>#REF!+"Ttr!."</f>
        <v>#REF!</v>
      </c>
      <c r="BM11" t="e">
        <f>#REF!+"Ttr!/"</f>
        <v>#REF!</v>
      </c>
      <c r="BN11" t="e">
        <f>#REF!+"Ttr!0"</f>
        <v>#REF!</v>
      </c>
      <c r="BO11" t="e">
        <f>#REF!+"Ttr!1"</f>
        <v>#REF!</v>
      </c>
      <c r="BP11" t="e">
        <f>#REF!+"Ttr!2"</f>
        <v>#REF!</v>
      </c>
      <c r="BQ11" t="e">
        <f>#REF!+"Ttr!3"</f>
        <v>#REF!</v>
      </c>
      <c r="BR11" t="e">
        <f>#REF!+"Ttr!4"</f>
        <v>#REF!</v>
      </c>
      <c r="BS11" t="e">
        <f>#REF!+"Ttr!5"</f>
        <v>#REF!</v>
      </c>
      <c r="BT11" t="e">
        <f>#REF!+"Ttr!6"</f>
        <v>#REF!</v>
      </c>
      <c r="BU11" t="e">
        <f>#REF!+"Ttr!7"</f>
        <v>#REF!</v>
      </c>
      <c r="BV11" t="e">
        <f>#REF!+"Ttr!8"</f>
        <v>#REF!</v>
      </c>
      <c r="BW11" t="e">
        <f>#REF!+"Ttr!9"</f>
        <v>#REF!</v>
      </c>
      <c r="BX11" t="e">
        <f>#REF!+"Ttr!:"</f>
        <v>#REF!</v>
      </c>
      <c r="BY11" t="e">
        <f>#REF!+"Ttr!;"</f>
        <v>#REF!</v>
      </c>
      <c r="BZ11" t="e">
        <f>#REF!+"Ttr!&lt;"</f>
        <v>#REF!</v>
      </c>
      <c r="CA11" t="e">
        <f>#REF!+"Ttr!="</f>
        <v>#REF!</v>
      </c>
      <c r="CB11" t="e">
        <f>#REF!+"Ttr!&gt;"</f>
        <v>#REF!</v>
      </c>
      <c r="CC11" t="e">
        <f>#REF!+"Ttr!?"</f>
        <v>#REF!</v>
      </c>
      <c r="CD11" t="e">
        <f>#REF!+"Ttr!@"</f>
        <v>#REF!</v>
      </c>
      <c r="CE11" t="e">
        <f>#REF!+"Ttr!A"</f>
        <v>#REF!</v>
      </c>
      <c r="CF11" t="e">
        <f>#REF!+"Ttr!B"</f>
        <v>#REF!</v>
      </c>
      <c r="CG11" t="e">
        <f>#REF!+"Ttr!C"</f>
        <v>#REF!</v>
      </c>
      <c r="CH11" t="e">
        <f>#REF!+"Ttr!D"</f>
        <v>#REF!</v>
      </c>
      <c r="CI11" t="e">
        <f>#REF!+"Ttr!E"</f>
        <v>#REF!</v>
      </c>
      <c r="CJ11" t="e">
        <f>#REF!+"Ttr!F"</f>
        <v>#REF!</v>
      </c>
      <c r="CK11" t="e">
        <f>#REF!+"Ttr!G"</f>
        <v>#REF!</v>
      </c>
      <c r="CL11" t="e">
        <f>#REF!+"Ttr!H"</f>
        <v>#REF!</v>
      </c>
      <c r="CM11" s="2" t="e">
        <f>#REF!+"Ttr!I"</f>
        <v>#REF!</v>
      </c>
      <c r="CN11" t="e">
        <f>#REF!+"Ttr!J"</f>
        <v>#REF!</v>
      </c>
      <c r="CO11" s="2" t="e">
        <f>#REF!+"Ttr!K"</f>
        <v>#REF!</v>
      </c>
      <c r="CP11" s="2" t="e">
        <f>#REF!+"Ttr!L"</f>
        <v>#REF!</v>
      </c>
      <c r="CQ11" s="2" t="e">
        <f>#REF!+"Ttr!M"</f>
        <v>#REF!</v>
      </c>
      <c r="CR11" s="2" t="e">
        <f>#REF!+"Ttr!N"</f>
        <v>#REF!</v>
      </c>
      <c r="CS11" t="e">
        <f>#REF!+"Ttr!O"</f>
        <v>#REF!</v>
      </c>
      <c r="CT11" t="e">
        <f>#REF!+"Ttr!P"</f>
        <v>#REF!</v>
      </c>
      <c r="CU11" t="e">
        <f>#REF!+"Ttr!Q"</f>
        <v>#REF!</v>
      </c>
      <c r="CV11" t="e">
        <f>#REF!+"Ttr!R"</f>
        <v>#REF!</v>
      </c>
      <c r="CW11" t="e">
        <f>#REF!+"Ttr!S"</f>
        <v>#REF!</v>
      </c>
      <c r="CX11" t="e">
        <f>#REF!+"Ttr!T"</f>
        <v>#REF!</v>
      </c>
      <c r="CY11" t="e">
        <f>#REF!+"Ttr!U"</f>
        <v>#REF!</v>
      </c>
      <c r="CZ11" t="e">
        <f>#REF!+"Ttr!V"</f>
        <v>#REF!</v>
      </c>
      <c r="DA11" t="e">
        <f>#REF!+"Ttr!W"</f>
        <v>#REF!</v>
      </c>
      <c r="DB11" t="e">
        <f>#REF!+"Ttr!X"</f>
        <v>#REF!</v>
      </c>
      <c r="DC11" t="e">
        <f>#REF!+"Ttr!Y"</f>
        <v>#REF!</v>
      </c>
      <c r="DD11" t="e">
        <f>#REF!+"Ttr!Z"</f>
        <v>#REF!</v>
      </c>
      <c r="DE11" t="e">
        <f>#REF!+"Ttr!["</f>
        <v>#REF!</v>
      </c>
      <c r="DF11" t="e">
        <f>#REF!+"Ttr!\"</f>
        <v>#REF!</v>
      </c>
      <c r="DG11" t="e">
        <f>#REF!+"Ttr!]"</f>
        <v>#REF!</v>
      </c>
      <c r="DH11" t="e">
        <f>#REF!+"Ttr!^"</f>
        <v>#REF!</v>
      </c>
      <c r="DI11" t="e">
        <f>#REF!+"Ttr!_"</f>
        <v>#REF!</v>
      </c>
      <c r="DJ11" t="e">
        <f>#REF!+"Ttr!`"</f>
        <v>#REF!</v>
      </c>
      <c r="DK11" t="e">
        <f>#REF!+"Ttr!a"</f>
        <v>#REF!</v>
      </c>
      <c r="DL11" t="e">
        <f>#REF!+"Ttr!b"</f>
        <v>#REF!</v>
      </c>
      <c r="DM11" t="e">
        <f>#REF!+"Ttr!c"</f>
        <v>#REF!</v>
      </c>
      <c r="DN11" t="e">
        <f>#REF!+"Ttr!d"</f>
        <v>#REF!</v>
      </c>
      <c r="DO11" s="2" t="e">
        <f>#REF!+"Ttr!e"</f>
        <v>#REF!</v>
      </c>
      <c r="DP11" t="e">
        <f>#REF!+"Ttr!f"</f>
        <v>#REF!</v>
      </c>
      <c r="DQ11" s="2" t="e">
        <f>#REF!+"Ttr!g"</f>
        <v>#REF!</v>
      </c>
      <c r="DR11" s="2" t="e">
        <f>#REF!+"Ttr!h"</f>
        <v>#REF!</v>
      </c>
      <c r="DS11" s="2" t="e">
        <f>#REF!+"Ttr!i"</f>
        <v>#REF!</v>
      </c>
      <c r="DT11" s="2" t="e">
        <f>#REF!+"Ttr!j"</f>
        <v>#REF!</v>
      </c>
      <c r="DU11" t="e">
        <f>#REF!+"Ttr!k"</f>
        <v>#REF!</v>
      </c>
      <c r="DV11" t="e">
        <f>#REF!+"Ttr!l"</f>
        <v>#REF!</v>
      </c>
      <c r="DW11" t="e">
        <f>#REF!+"Ttr!m"</f>
        <v>#REF!</v>
      </c>
      <c r="DX11" t="e">
        <f>#REF!+"Ttr!n"</f>
        <v>#REF!</v>
      </c>
      <c r="DY11" t="e">
        <f>#REF!+"Ttr!o"</f>
        <v>#REF!</v>
      </c>
      <c r="DZ11" t="e">
        <f>#REF!+"Ttr!p"</f>
        <v>#REF!</v>
      </c>
      <c r="EA11" t="e">
        <f>#REF!+"Ttr!q"</f>
        <v>#REF!</v>
      </c>
      <c r="EB11" t="e">
        <f>#REF!+"Ttr!r"</f>
        <v>#REF!</v>
      </c>
      <c r="EC11" t="e">
        <f>#REF!+"Ttr!s"</f>
        <v>#REF!</v>
      </c>
      <c r="ED11" t="e">
        <f>#REF!+"Ttr!t"</f>
        <v>#REF!</v>
      </c>
      <c r="EE11" t="e">
        <f>#REF!+"Ttr!u"</f>
        <v>#REF!</v>
      </c>
      <c r="EF11" t="e">
        <f>#REF!+"Ttr!v"</f>
        <v>#REF!</v>
      </c>
      <c r="EG11" t="e">
        <f>#REF!+"Ttr!w"</f>
        <v>#REF!</v>
      </c>
      <c r="EH11" t="e">
        <f>#REF!+"Ttr!x"</f>
        <v>#REF!</v>
      </c>
      <c r="EI11" t="e">
        <f>#REF!+"Ttr!y"</f>
        <v>#REF!</v>
      </c>
      <c r="EJ11" t="e">
        <f>#REF!+"Ttr!z"</f>
        <v>#REF!</v>
      </c>
      <c r="EK11" t="e">
        <f>#REF!+"Ttr!{"</f>
        <v>#REF!</v>
      </c>
      <c r="EL11" t="e">
        <f>#REF!+"Ttr!|"</f>
        <v>#REF!</v>
      </c>
      <c r="EM11" t="e">
        <f>#REF!+"Ttr!}"</f>
        <v>#REF!</v>
      </c>
      <c r="EN11" t="e">
        <f>#REF!+"Ttr!~"</f>
        <v>#REF!</v>
      </c>
      <c r="EO11" t="e">
        <f>#REF!+"Ttr!$#"</f>
        <v>#REF!</v>
      </c>
      <c r="EP11" t="e">
        <f>#REF!+"Ttr!$$"</f>
        <v>#REF!</v>
      </c>
      <c r="EQ11" t="e">
        <f>#REF!+"Ttr!$%"</f>
        <v>#REF!</v>
      </c>
      <c r="ER11" t="e">
        <f>#REF!+"Ttr!$&amp;"</f>
        <v>#REF!</v>
      </c>
      <c r="ES11" t="e">
        <f>#REF!+"Ttr!$'"</f>
        <v>#REF!</v>
      </c>
      <c r="ET11" t="e">
        <f>#REF!+"Ttr!$("</f>
        <v>#REF!</v>
      </c>
      <c r="EU11" t="e">
        <f>#REF!+"Ttr!$)"</f>
        <v>#REF!</v>
      </c>
      <c r="EV11" t="e">
        <f>#REF!+"Ttr!$."</f>
        <v>#REF!</v>
      </c>
      <c r="EW11" t="e">
        <f>#REF!+"Ttr!$/"</f>
        <v>#REF!</v>
      </c>
      <c r="EX11" t="e">
        <f>#REF!+"Ttr!$0"</f>
        <v>#REF!</v>
      </c>
      <c r="EY11" t="e">
        <f>#REF!+"Ttr!$1"</f>
        <v>#REF!</v>
      </c>
      <c r="EZ11" t="e">
        <f>#REF!+"Ttr!$2"</f>
        <v>#REF!</v>
      </c>
      <c r="FA11" s="2" t="e">
        <f>#REF!+"Ttr!$3"</f>
        <v>#REF!</v>
      </c>
      <c r="FB11" t="e">
        <f>#REF!+"Ttr!$4"</f>
        <v>#REF!</v>
      </c>
      <c r="FC11" s="2" t="e">
        <f>#REF!+"Ttr!$5"</f>
        <v>#REF!</v>
      </c>
      <c r="FD11" s="2" t="e">
        <f>#REF!+"Ttr!$6"</f>
        <v>#REF!</v>
      </c>
      <c r="FE11" s="2" t="e">
        <f>#REF!+"Ttr!$7"</f>
        <v>#REF!</v>
      </c>
      <c r="FF11" s="2" t="e">
        <f>#REF!+"Ttr!$8"</f>
        <v>#REF!</v>
      </c>
      <c r="FG11" t="e">
        <f>#REF!+"Ttr!$9"</f>
        <v>#REF!</v>
      </c>
      <c r="FH11" t="e">
        <f>#REF!+"Ttr!$:"</f>
        <v>#REF!</v>
      </c>
      <c r="FI11" t="e">
        <f>#REF!+"Ttr!$;"</f>
        <v>#REF!</v>
      </c>
      <c r="FJ11" t="e">
        <f>#REF!+"Ttr!$&lt;"</f>
        <v>#REF!</v>
      </c>
      <c r="FK11" t="e">
        <f>#REF!+"Ttr!$="</f>
        <v>#REF!</v>
      </c>
      <c r="FL11" t="e">
        <f>#REF!+"Ttr!$&gt;"</f>
        <v>#REF!</v>
      </c>
      <c r="FM11" t="e">
        <f>#REF!+"Ttr!$?"</f>
        <v>#REF!</v>
      </c>
      <c r="FN11" t="e">
        <f>#REF!+"Ttr!$@"</f>
        <v>#REF!</v>
      </c>
      <c r="FO11" t="e">
        <f>#REF!+"Ttr!$A"</f>
        <v>#REF!</v>
      </c>
      <c r="FP11" t="e">
        <f>#REF!+"Ttr!$B"</f>
        <v>#REF!</v>
      </c>
      <c r="FQ11" t="e">
        <f>#REF!+"Ttr!$C"</f>
        <v>#REF!</v>
      </c>
      <c r="FR11" t="e">
        <f>#REF!+"Ttr!$D"</f>
        <v>#REF!</v>
      </c>
      <c r="FS11" s="2" t="e">
        <f>#REF!+"Ttr!$E"</f>
        <v>#REF!</v>
      </c>
      <c r="FT11" t="e">
        <f>#REF!+"Ttr!$F"</f>
        <v>#REF!</v>
      </c>
      <c r="FU11" s="2" t="e">
        <f>#REF!+"Ttr!$G"</f>
        <v>#REF!</v>
      </c>
      <c r="FV11" s="2" t="e">
        <f>#REF!+"Ttr!$H"</f>
        <v>#REF!</v>
      </c>
      <c r="FW11" s="2" t="e">
        <f>#REF!+"Ttr!$I"</f>
        <v>#REF!</v>
      </c>
      <c r="FX11" s="2" t="e">
        <f>#REF!+"Ttr!$J"</f>
        <v>#REF!</v>
      </c>
      <c r="FY11" t="e">
        <f>#REF!+"Ttr!$K"</f>
        <v>#REF!</v>
      </c>
      <c r="FZ11" t="e">
        <f>#REF!+"Ttr!$L"</f>
        <v>#REF!</v>
      </c>
      <c r="GA11" t="e">
        <f>#REF!+"Ttr!$M"</f>
        <v>#REF!</v>
      </c>
      <c r="GB11" t="e">
        <f>#REF!+"Ttr!$N"</f>
        <v>#REF!</v>
      </c>
      <c r="GC11" t="e">
        <f>#REF!+"Ttr!$O"</f>
        <v>#REF!</v>
      </c>
      <c r="GD11" t="e">
        <f>#REF!+"Ttr!$P"</f>
        <v>#REF!</v>
      </c>
      <c r="GE11" t="e">
        <f>#REF!+"Ttr!$Q"</f>
        <v>#REF!</v>
      </c>
      <c r="GF11" t="e">
        <f>#REF!+"Ttr!$R"</f>
        <v>#REF!</v>
      </c>
      <c r="GG11" t="e">
        <f>#REF!+"Ttr!$S"</f>
        <v>#REF!</v>
      </c>
      <c r="GH11" t="e">
        <f>#REF!+"Ttr!$T"</f>
        <v>#REF!</v>
      </c>
      <c r="GI11" t="e">
        <f>#REF!+"Ttr!$U"</f>
        <v>#REF!</v>
      </c>
      <c r="GJ11" t="e">
        <f>#REF!+"Ttr!$V"</f>
        <v>#REF!</v>
      </c>
      <c r="GK11" t="e">
        <f>#REF!+"Ttr!$W"</f>
        <v>#REF!</v>
      </c>
      <c r="GL11" t="e">
        <f>#REF!+"Ttr!$X"</f>
        <v>#REF!</v>
      </c>
      <c r="GM11" t="e">
        <f>#REF!+"Ttr!$Y"</f>
        <v>#REF!</v>
      </c>
      <c r="GN11" t="e">
        <f>#REF!+"Ttr!$Z"</f>
        <v>#REF!</v>
      </c>
      <c r="GO11" t="e">
        <f>#REF!+"Ttr!$["</f>
        <v>#REF!</v>
      </c>
      <c r="GP11" t="e">
        <f>#REF!+"Ttr!$\"</f>
        <v>#REF!</v>
      </c>
      <c r="GQ11" t="e">
        <f>#REF!+"Ttr!$]"</f>
        <v>#REF!</v>
      </c>
      <c r="GR11" t="e">
        <f>#REF!+"Ttr!$^"</f>
        <v>#REF!</v>
      </c>
      <c r="GS11" t="e">
        <f>#REF!+"Ttr!$_"</f>
        <v>#REF!</v>
      </c>
      <c r="GT11" t="e">
        <f>#REF!+"Ttr!$`"</f>
        <v>#REF!</v>
      </c>
      <c r="GU11" t="e">
        <f>#REF!+"Ttr!$a"</f>
        <v>#REF!</v>
      </c>
      <c r="GV11" t="e">
        <f>#REF!+"Ttr!$b"</f>
        <v>#REF!</v>
      </c>
      <c r="GW11" t="e">
        <f>#REF!+"Ttr!$c"</f>
        <v>#REF!</v>
      </c>
      <c r="GX11" t="e">
        <f>#REF!+"Ttr!$d"</f>
        <v>#REF!</v>
      </c>
      <c r="GY11" t="e">
        <f>#REF!+"Ttr!$e"</f>
        <v>#REF!</v>
      </c>
      <c r="GZ11" t="e">
        <f>#REF!+"Ttr!$f"</f>
        <v>#REF!</v>
      </c>
      <c r="HA11" t="e">
        <f>#REF!+"Ttr!$g"</f>
        <v>#REF!</v>
      </c>
      <c r="HB11" t="e">
        <f>#REF!+"Ttr!$h"</f>
        <v>#REF!</v>
      </c>
      <c r="HC11" t="e">
        <f>#REF!+"Ttr!$i"</f>
        <v>#REF!</v>
      </c>
      <c r="HD11" t="e">
        <f>#REF!+"Ttr!$j"</f>
        <v>#REF!</v>
      </c>
      <c r="HE11" t="e">
        <f>#REF!+"Ttr!$k"</f>
        <v>#REF!</v>
      </c>
      <c r="HF11" s="2" t="e">
        <f>#REF!+"Ttr!$l"</f>
        <v>#REF!</v>
      </c>
      <c r="HG11" t="e">
        <f>#REF!+"Ttr!$m"</f>
        <v>#REF!</v>
      </c>
      <c r="HH11" s="2" t="e">
        <f>#REF!+"Ttr!$n"</f>
        <v>#REF!</v>
      </c>
      <c r="HI11" s="2" t="e">
        <f>#REF!+"Ttr!$o"</f>
        <v>#REF!</v>
      </c>
      <c r="HJ11" s="2" t="e">
        <f>#REF!+"Ttr!$p"</f>
        <v>#REF!</v>
      </c>
      <c r="HK11" s="2" t="e">
        <f>#REF!+"Ttr!$q"</f>
        <v>#REF!</v>
      </c>
      <c r="HL11" t="e">
        <f>#REF!+"Ttr!$r"</f>
        <v>#REF!</v>
      </c>
      <c r="HM11" t="e">
        <f>#REF!+"Ttr!$s"</f>
        <v>#REF!</v>
      </c>
      <c r="HN11" t="e">
        <f>#REF!+"Ttr!$t"</f>
        <v>#REF!</v>
      </c>
      <c r="HO11" t="e">
        <f>#REF!+"Ttr!$u"</f>
        <v>#REF!</v>
      </c>
      <c r="HP11" t="e">
        <f>#REF!+"Ttr!$v"</f>
        <v>#REF!</v>
      </c>
      <c r="HQ11" t="e">
        <f>#REF!+"Ttr!$w"</f>
        <v>#REF!</v>
      </c>
      <c r="HR11" t="e">
        <f>#REF!+"Ttr!$x"</f>
        <v>#REF!</v>
      </c>
      <c r="HS11" t="e">
        <f>#REF!+"Ttr!$y"</f>
        <v>#REF!</v>
      </c>
      <c r="HT11" t="e">
        <f>#REF!+"Ttr!$z"</f>
        <v>#REF!</v>
      </c>
      <c r="HU11" t="e">
        <f>#REF!+"Ttr!${"</f>
        <v>#REF!</v>
      </c>
      <c r="HV11" t="e">
        <f>#REF!+"Ttr!$|"</f>
        <v>#REF!</v>
      </c>
      <c r="HW11" t="e">
        <f>#REF!+"Ttr!$}"</f>
        <v>#REF!</v>
      </c>
      <c r="HX11" t="e">
        <f>#REF!+"Ttr!$~"</f>
        <v>#REF!</v>
      </c>
      <c r="HY11" t="e">
        <f>#REF!+"Ttr!%#"</f>
        <v>#REF!</v>
      </c>
      <c r="HZ11" t="e">
        <f>#REF!+"Ttr!%$"</f>
        <v>#REF!</v>
      </c>
      <c r="IA11" t="e">
        <f>#REF!+"Ttr!%%"</f>
        <v>#REF!</v>
      </c>
      <c r="IB11" t="e">
        <f>#REF!+"Ttr!%&amp;"</f>
        <v>#REF!</v>
      </c>
      <c r="IC11" s="2" t="e">
        <f>#REF!+"Ttr!%'"</f>
        <v>#REF!</v>
      </c>
      <c r="ID11" t="e">
        <f>#REF!+"Ttr!%("</f>
        <v>#REF!</v>
      </c>
      <c r="IE11" s="2" t="e">
        <f>#REF!+"Ttr!%)"</f>
        <v>#REF!</v>
      </c>
      <c r="IF11" s="2" t="e">
        <f>#REF!+"Ttr!%."</f>
        <v>#REF!</v>
      </c>
      <c r="IG11" s="2" t="e">
        <f>#REF!+"Ttr!%/"</f>
        <v>#REF!</v>
      </c>
      <c r="IH11" s="2" t="e">
        <f>#REF!+"Ttr!%0"</f>
        <v>#REF!</v>
      </c>
      <c r="II11" t="e">
        <f>#REF!+"Ttr!%1"</f>
        <v>#REF!</v>
      </c>
      <c r="IJ11" t="e">
        <f>#REF!+"Ttr!%2"</f>
        <v>#REF!</v>
      </c>
      <c r="IK11" t="e">
        <f>#REF!+"Ttr!%3"</f>
        <v>#REF!</v>
      </c>
      <c r="IL11" t="e">
        <f>#REF!+"Ttr!%4"</f>
        <v>#REF!</v>
      </c>
      <c r="IM11" t="e">
        <f>#REF!+"Ttr!%5"</f>
        <v>#REF!</v>
      </c>
      <c r="IN11" t="e">
        <f>#REF!+"Ttr!%6"</f>
        <v>#REF!</v>
      </c>
      <c r="IO11" t="e">
        <f>#REF!+"Ttr!%7"</f>
        <v>#REF!</v>
      </c>
      <c r="IP11" t="e">
        <f>#REF!+"Ttr!%8"</f>
        <v>#REF!</v>
      </c>
      <c r="IQ11" t="e">
        <f>#REF!+"Ttr!%9"</f>
        <v>#REF!</v>
      </c>
      <c r="IR11" t="e">
        <f>#REF!+"Ttr!%:"</f>
        <v>#REF!</v>
      </c>
      <c r="IS11" t="e">
        <f>#REF!+"Ttr!%;"</f>
        <v>#REF!</v>
      </c>
      <c r="IT11" t="e">
        <f>#REF!+"Ttr!%&lt;"</f>
        <v>#REF!</v>
      </c>
      <c r="IU11" t="e">
        <f>#REF!+"Ttr!%="</f>
        <v>#REF!</v>
      </c>
      <c r="IV11" t="e">
        <f>#REF!+"Ttr!%&gt;"</f>
        <v>#REF!</v>
      </c>
    </row>
    <row r="12" spans="1:256" x14ac:dyDescent="0.25">
      <c r="F12" t="e">
        <f>#REF!+"Ttr!%?"</f>
        <v>#REF!</v>
      </c>
      <c r="G12" t="e">
        <f>#REF!+"Ttr!%@"</f>
        <v>#REF!</v>
      </c>
      <c r="H12" t="e">
        <f>#REF!+"Ttr!%A"</f>
        <v>#REF!</v>
      </c>
      <c r="I12" t="e">
        <f>#REF!+"Ttr!%B"</f>
        <v>#REF!</v>
      </c>
      <c r="J12" t="e">
        <f>#REF!+"Ttr!%C"</f>
        <v>#REF!</v>
      </c>
      <c r="K12" s="2" t="e">
        <f>#REF!+"Ttr!%D"</f>
        <v>#REF!</v>
      </c>
      <c r="L12" t="e">
        <f>#REF!+"Ttr!%E"</f>
        <v>#REF!</v>
      </c>
      <c r="M12" s="2" t="e">
        <f>#REF!+"Ttr!%F"</f>
        <v>#REF!</v>
      </c>
      <c r="N12" s="2" t="e">
        <f>#REF!+"Ttr!%G"</f>
        <v>#REF!</v>
      </c>
      <c r="O12" s="2" t="e">
        <f>#REF!+"Ttr!%H"</f>
        <v>#REF!</v>
      </c>
      <c r="P12" s="2" t="e">
        <f>#REF!+"Ttr!%I"</f>
        <v>#REF!</v>
      </c>
      <c r="Q12" t="e">
        <f>#REF!+"Ttr!%J"</f>
        <v>#REF!</v>
      </c>
      <c r="R12" t="e">
        <f>#REF!+"Ttr!%K"</f>
        <v>#REF!</v>
      </c>
      <c r="S12" t="e">
        <f>#REF!+"Ttr!%L"</f>
        <v>#REF!</v>
      </c>
      <c r="T12" t="e">
        <f>#REF!+"Ttr!%M"</f>
        <v>#REF!</v>
      </c>
      <c r="U12" t="e">
        <f>#REF!+"Ttr!%N"</f>
        <v>#REF!</v>
      </c>
      <c r="V12" t="e">
        <f>#REF!+"Ttr!%O"</f>
        <v>#REF!</v>
      </c>
      <c r="W12" t="e">
        <f>#REF!+"Ttr!%P"</f>
        <v>#REF!</v>
      </c>
      <c r="X12" t="e">
        <f>#REF!+"Ttr!%Q"</f>
        <v>#REF!</v>
      </c>
      <c r="Y12" t="e">
        <f>#REF!+"Ttr!%R"</f>
        <v>#REF!</v>
      </c>
      <c r="Z12" t="e">
        <f>#REF!+"Ttr!%S"</f>
        <v>#REF!</v>
      </c>
      <c r="AA12" t="e">
        <f>#REF!+"Ttr!%T"</f>
        <v>#REF!</v>
      </c>
      <c r="AB12" t="e">
        <f>#REF!+"Ttr!%U"</f>
        <v>#REF!</v>
      </c>
      <c r="AC12" t="e">
        <f>#REF!+"Ttr!%V"</f>
        <v>#REF!</v>
      </c>
      <c r="AD12" t="e">
        <f>#REF!+"Ttr!%W"</f>
        <v>#REF!</v>
      </c>
      <c r="AE12" t="e">
        <f>#REF!+"Ttr!%X"</f>
        <v>#REF!</v>
      </c>
      <c r="AF12" t="e">
        <f>#REF!+"Ttr!%Y"</f>
        <v>#REF!</v>
      </c>
      <c r="AG12" t="e">
        <f>#REF!+"Ttr!%Z"</f>
        <v>#REF!</v>
      </c>
      <c r="AH12" t="e">
        <f>#REF!+"Ttr!%["</f>
        <v>#REF!</v>
      </c>
      <c r="AI12" t="e">
        <f>#REF!+"Ttr!%\"</f>
        <v>#REF!</v>
      </c>
      <c r="AJ12" t="e">
        <f>#REF!+"Ttr!%]"</f>
        <v>#REF!</v>
      </c>
      <c r="AK12" t="e">
        <f>#REF!+"Ttr!%^"</f>
        <v>#REF!</v>
      </c>
      <c r="AL12" t="e">
        <f>#REF!+"Ttr!%_"</f>
        <v>#REF!</v>
      </c>
      <c r="AM12" t="e">
        <f>#REF!+"Ttr!%`"</f>
        <v>#REF!</v>
      </c>
      <c r="AN12" t="e">
        <f>#REF!+"Ttr!%a"</f>
        <v>#REF!</v>
      </c>
      <c r="AO12" t="e">
        <f>#REF!+"Ttr!%b"</f>
        <v>#REF!</v>
      </c>
      <c r="AP12" t="e">
        <f>#REF!+"Ttr!%c"</f>
        <v>#REF!</v>
      </c>
      <c r="AQ12" t="e">
        <f>#REF!+"Ttr!%d"</f>
        <v>#REF!</v>
      </c>
      <c r="AR12" t="e">
        <f>#REF!+"Ttr!%e"</f>
        <v>#REF!</v>
      </c>
      <c r="AS12" t="e">
        <f>#REF!+"Ttr!%f"</f>
        <v>#REF!</v>
      </c>
      <c r="AT12" t="e">
        <f>#REF!+"Ttr!%g"</f>
        <v>#REF!</v>
      </c>
      <c r="AU12" t="e">
        <f>#REF!+"Ttr!%h"</f>
        <v>#REF!</v>
      </c>
      <c r="AV12" t="e">
        <f>#REF!+"Ttr!%i"</f>
        <v>#REF!</v>
      </c>
      <c r="AW12" t="e">
        <f>#REF!+"Ttr!%j"</f>
        <v>#REF!</v>
      </c>
      <c r="AX12" t="e">
        <f>#REF!+"Ttr!%k"</f>
        <v>#REF!</v>
      </c>
      <c r="AY12" t="e">
        <f>#REF!+"Ttr!%l"</f>
        <v>#REF!</v>
      </c>
      <c r="AZ12" t="e">
        <f>#REF!+"Ttr!%m"</f>
        <v>#REF!</v>
      </c>
      <c r="BA12" t="e">
        <f>#REF!+"Ttr!%n"</f>
        <v>#REF!</v>
      </c>
      <c r="BB12" t="e">
        <f>#REF!+"Ttr!%o"</f>
        <v>#REF!</v>
      </c>
      <c r="BC12" t="e">
        <f>#REF!+"Ttr!%p"</f>
        <v>#REF!</v>
      </c>
      <c r="BD12" t="e">
        <f>#REF!+"Ttr!%q"</f>
        <v>#REF!</v>
      </c>
      <c r="BE12" t="e">
        <f>#REF!+"Ttr!%r"</f>
        <v>#REF!</v>
      </c>
      <c r="BF12" t="e">
        <f>#REF!+"Ttr!%s"</f>
        <v>#REF!</v>
      </c>
      <c r="BG12" t="e">
        <f>#REF!+"Ttr!%t"</f>
        <v>#REF!</v>
      </c>
      <c r="BH12" t="e">
        <f>#REF!+"Ttr!%u"</f>
        <v>#REF!</v>
      </c>
      <c r="BI12" t="e">
        <f>#REF!+"Ttr!%v"</f>
        <v>#REF!</v>
      </c>
      <c r="BJ12" t="e">
        <f>#REF!+"Ttr!%w"</f>
        <v>#REF!</v>
      </c>
      <c r="BK12" t="e">
        <f>#REF!+"Ttr!%x"</f>
        <v>#REF!</v>
      </c>
      <c r="BL12" t="e">
        <f>#REF!+"Ttr!%y"</f>
        <v>#REF!</v>
      </c>
      <c r="BM12" t="e">
        <f>#REF!+"Ttr!%z"</f>
        <v>#REF!</v>
      </c>
      <c r="BN12" t="e">
        <f>#REF!+"Ttr!%{"</f>
        <v>#REF!</v>
      </c>
      <c r="BO12" t="e">
        <f>#REF!+"Ttr!%|"</f>
        <v>#REF!</v>
      </c>
      <c r="BP12" t="e">
        <f>#REF!+"Ttr!%}"</f>
        <v>#REF!</v>
      </c>
      <c r="BQ12" t="e">
        <f>#REF!+"Ttr!%~"</f>
        <v>#REF!</v>
      </c>
      <c r="BR12" t="e">
        <f>#REF!+"Ttr!&amp;#"</f>
        <v>#REF!</v>
      </c>
      <c r="BS12" t="e">
        <f>_xlfn.SINGLE(#REF!)*"Ttr!&amp;$"</f>
        <v>#REF!</v>
      </c>
      <c r="BT12" t="e">
        <f>#REF!-"Ttr!&amp;%"</f>
        <v>#REF!</v>
      </c>
      <c r="BU12" t="e">
        <f>_xlfn.SINGLE(#REF!)-"Ttr!&amp;&amp;"</f>
        <v>#REF!</v>
      </c>
      <c r="BV12" t="e">
        <f>_xlfn.SINGLE(#REF!)-"Ttr!&amp;'"</f>
        <v>#REF!</v>
      </c>
      <c r="BW12" t="e">
        <f>_xlfn.SINGLE(#REF!)-"Ttr!&amp;("</f>
        <v>#REF!</v>
      </c>
      <c r="BX12" t="e">
        <f>_xlfn.SINGLE(#REF!)-"Ttr!&amp;)"</f>
        <v>#REF!</v>
      </c>
      <c r="BY12" t="e">
        <f>_xlfn.SINGLE(#REF!)-"Ttr!&amp;."</f>
        <v>#REF!</v>
      </c>
      <c r="BZ12" t="e">
        <f>_xlfn.SINGLE(#REF!)-"Ttr!&amp;/"</f>
        <v>#REF!</v>
      </c>
      <c r="CA12" t="e">
        <f>_xlfn.SINGLE(#REF!)-"Ttr!&amp;0"</f>
        <v>#REF!</v>
      </c>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956B839F81BE34418E1CEC165293F9D6" ma:contentTypeVersion="16" ma:contentTypeDescription="Ein neues Dokument erstellen." ma:contentTypeScope="" ma:versionID="14526191fa54053ad47065ca919a101e">
  <xsd:schema xmlns:xsd="http://www.w3.org/2001/XMLSchema" xmlns:xs="http://www.w3.org/2001/XMLSchema" xmlns:p="http://schemas.microsoft.com/office/2006/metadata/properties" xmlns:ns2="90a744cd-9627-40a4-b0fe-c33b1519b8cb" xmlns:ns3="b97256a4-5c69-4498-b38c-f3ac0f5327c9" targetNamespace="http://schemas.microsoft.com/office/2006/metadata/properties" ma:root="true" ma:fieldsID="a7a72805effb19bcfea68b252970ca37" ns2:_="" ns3:_="">
    <xsd:import namespace="90a744cd-9627-40a4-b0fe-c33b1519b8cb"/>
    <xsd:import namespace="b97256a4-5c69-4498-b38c-f3ac0f5327c9"/>
    <xsd:element name="properties">
      <xsd:complexType>
        <xsd:sequence>
          <xsd:element name="documentManagement">
            <xsd:complexType>
              <xsd:all>
                <xsd:element ref="ns2:MediaServiceMetadata" minOccurs="0"/>
                <xsd:element ref="ns2:MediaServiceFastMetadata"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Beschreibung" minOccurs="0"/>
                <xsd:element ref="ns2:lcf76f155ced4ddcb4097134ff3c332f" minOccurs="0"/>
                <xsd:element ref="ns3:TaxCatchAll" minOccurs="0"/>
                <xsd:element ref="ns2:MediaServiceObjectDetectorVersion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a744cd-9627-40a4-b0fe-c33b1519b8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GenerationTime" ma:index="10" nillable="true" ma:displayName="MediaServiceGenerationTime" ma:hidden="true" ma:internalName="MediaServiceGenerationTime"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Beschreibung" ma:index="16" nillable="true" ma:displayName="Beschreibung" ma:format="Dropdown" ma:internalName="Beschreibung">
      <xsd:simpleType>
        <xsd:restriction base="dms:Text">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3a665c18-619d-423b-beb0-5e81b262622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7256a4-5c69-4498-b38c-f3ac0f5327c9"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19" nillable="true" ma:displayName="Taxonomy Catch All Column" ma:hidden="true" ma:list="{3336e56e-ef64-4bd4-ae82-c5f75e4a1f37}" ma:internalName="TaxCatchAll" ma:showField="CatchAllData" ma:web="b97256a4-5c69-4498-b38c-f3ac0f532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97256a4-5c69-4498-b38c-f3ac0f5327c9" xsi:nil="true"/>
    <Beschreibung xmlns="90a744cd-9627-40a4-b0fe-c33b1519b8cb" xsi:nil="true"/>
    <lcf76f155ced4ddcb4097134ff3c332f xmlns="90a744cd-9627-40a4-b0fe-c33b1519b8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1CA286E-BDBF-4B6C-891A-43A3FD4A73EB}">
  <ds:schemaRefs>
    <ds:schemaRef ds:uri="http://schemas.microsoft.com/sharepoint/v3/contenttype/forms"/>
  </ds:schemaRefs>
</ds:datastoreItem>
</file>

<file path=customXml/itemProps2.xml><?xml version="1.0" encoding="utf-8"?>
<ds:datastoreItem xmlns:ds="http://schemas.openxmlformats.org/officeDocument/2006/customXml" ds:itemID="{771160C8-7B0C-44E5-8DD3-07404742D9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a744cd-9627-40a4-b0fe-c33b1519b8cb"/>
    <ds:schemaRef ds:uri="b97256a4-5c69-4498-b38c-f3ac0f5327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0DA6F9-5828-491B-BB26-ABF6F0C14C94}">
  <ds:schemaRefs>
    <ds:schemaRef ds:uri="http://schemas.microsoft.com/office/2006/documentManagement/types"/>
    <ds:schemaRef ds:uri="http://purl.org/dc/term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b97256a4-5c69-4498-b38c-f3ac0f5327c9"/>
    <ds:schemaRef ds:uri="90a744cd-9627-40a4-b0fe-c33b1519b8cb"/>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Dokument Owner &amp; History</vt:lpstr>
      <vt:lpstr>Assessment Tool ISO 27001</vt:lpstr>
      <vt:lpstr>Graphics All Area</vt:lpstr>
      <vt:lpstr>Assistance Information</vt:lpstr>
      <vt:lpstr>Values VSE and BFE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Gap-Analyse / SoA ISO 27001</dc:title>
  <dc:subject/>
  <dc:creator/>
  <cp:keywords/>
  <dc:description/>
  <cp:lastModifiedBy/>
  <cp:revision>1</cp:revision>
  <dcterms:created xsi:type="dcterms:W3CDTF">2022-02-14T13:56:44Z</dcterms:created>
  <dcterms:modified xsi:type="dcterms:W3CDTF">2024-11-06T05:48:25Z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0x010100956B839F81BE34418E1CEC165293F9D6</vt:lpwstr>
  </property>
  <property fmtid="{D5CDD505-2E9C-101B-9397-08002B2CF9AE}" pid="3" name="KnowHowBranche">
    <vt:lpwstr/>
  </property>
  <property fmtid="{D5CDD505-2E9C-101B-9397-08002B2CF9AE}" pid="4" name="KnowHowFachbereich">
    <vt:lpwstr>6;#INFORMATIONSSICHERHEIT|2bdc09c4-0882-4bb0-9c1e-f569824d6afa</vt:lpwstr>
  </property>
  <property fmtid="{D5CDD505-2E9C-101B-9397-08002B2CF9AE}" pid="5" name="KnowHowThema">
    <vt:lpwstr>8;#ISMS_ISO 27001|32b3d77b-c945-46b7-9dab-f860c73aa6d1</vt:lpwstr>
  </property>
  <property fmtid="{D5CDD505-2E9C-101B-9397-08002B2CF9AE}" pid="6" name="MediaServiceImageTags">
    <vt:lpwstr/>
  </property>
</Properties>
</file>